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0" yWindow="1080" windowWidth="1243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J3" i="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2"/>
  <c r="K3" l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2"/>
  <c r="AA46"/>
  <c r="AA45"/>
  <c r="AA44"/>
  <c r="AA43"/>
  <c r="AA42"/>
  <c r="AA41"/>
  <c r="AA40"/>
  <c r="AA39"/>
  <c r="AA38"/>
  <c r="AA37"/>
  <c r="AA36"/>
  <c r="AA35"/>
  <c r="AA34"/>
  <c r="AA33"/>
  <c r="AA32"/>
  <c r="U46"/>
  <c r="V46" s="1"/>
  <c r="U45"/>
  <c r="V45" s="1"/>
  <c r="U44"/>
  <c r="V44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AI46"/>
  <c r="AI45"/>
  <c r="AI44"/>
  <c r="AI43"/>
  <c r="AI42"/>
  <c r="AI41"/>
  <c r="AI40"/>
  <c r="AI39"/>
  <c r="AI38"/>
  <c r="AI37"/>
  <c r="AI36"/>
  <c r="AI35"/>
  <c r="AI34"/>
  <c r="AI33"/>
  <c r="AI32"/>
  <c r="Y46"/>
  <c r="Z46" s="1"/>
  <c r="Y45"/>
  <c r="Z45"/>
  <c r="Y44"/>
  <c r="Z44" s="1"/>
  <c r="Y43"/>
  <c r="Z43" s="1"/>
  <c r="Y42"/>
  <c r="Z42"/>
  <c r="Y41"/>
  <c r="Z41"/>
  <c r="Y40"/>
  <c r="Z40"/>
  <c r="Y39"/>
  <c r="Z39" s="1"/>
  <c r="Y38"/>
  <c r="Z38" s="1"/>
  <c r="Y37"/>
  <c r="Z37" s="1"/>
  <c r="Y36"/>
  <c r="Z36" s="1"/>
  <c r="Y35"/>
  <c r="Z35" s="1"/>
  <c r="Y34"/>
  <c r="Z34" s="1"/>
  <c r="Y33"/>
  <c r="Z33" s="1"/>
  <c r="AC32"/>
  <c r="AC33"/>
  <c r="AC34"/>
  <c r="AC35"/>
  <c r="AC36"/>
  <c r="AC37"/>
  <c r="AC38"/>
  <c r="AC39"/>
  <c r="AC40"/>
  <c r="AC41"/>
  <c r="AC42"/>
  <c r="AC43"/>
  <c r="AC44"/>
  <c r="AC45"/>
  <c r="AC46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/>
  <c r="R46"/>
  <c r="R45"/>
  <c r="R44"/>
  <c r="R43"/>
  <c r="R42"/>
  <c r="R41"/>
  <c r="R40"/>
  <c r="R39"/>
  <c r="R38"/>
  <c r="R37"/>
  <c r="R36"/>
  <c r="R35"/>
  <c r="R34"/>
  <c r="R33"/>
  <c r="AC16"/>
  <c r="AC17"/>
  <c r="AC18"/>
  <c r="AC19"/>
  <c r="AC20"/>
  <c r="AC21"/>
  <c r="AC22"/>
  <c r="AC23"/>
  <c r="AC24"/>
  <c r="AC25"/>
  <c r="AC26"/>
  <c r="AC27"/>
  <c r="AC28"/>
  <c r="AC29"/>
  <c r="AC30"/>
  <c r="AC31"/>
  <c r="AC15"/>
  <c r="AA31"/>
  <c r="AA30"/>
  <c r="AA29"/>
  <c r="AA28"/>
  <c r="AA27"/>
  <c r="AA26"/>
  <c r="AA25"/>
  <c r="AA24"/>
  <c r="AA23"/>
  <c r="AA22"/>
  <c r="AA21"/>
  <c r="AA20"/>
  <c r="AA19"/>
  <c r="AA18"/>
  <c r="AA17"/>
  <c r="AI17"/>
  <c r="AI18"/>
  <c r="AI19"/>
  <c r="AI20"/>
  <c r="AI21"/>
  <c r="AI22"/>
  <c r="AI23"/>
  <c r="AI24"/>
  <c r="AI25"/>
  <c r="AI26"/>
  <c r="AI27"/>
  <c r="AI28"/>
  <c r="AI29"/>
  <c r="AI30"/>
  <c r="AI31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Y32"/>
  <c r="Z32" s="1"/>
  <c r="R32"/>
  <c r="F32"/>
  <c r="G32" s="1"/>
  <c r="AC12"/>
  <c r="Y31"/>
  <c r="Z31" s="1"/>
  <c r="Y30"/>
  <c r="Z30" s="1"/>
  <c r="Y29"/>
  <c r="Z29" s="1"/>
  <c r="Y28"/>
  <c r="Z28" s="1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R31"/>
  <c r="R30"/>
  <c r="R29"/>
  <c r="R28"/>
  <c r="R27"/>
  <c r="R26"/>
  <c r="R25"/>
  <c r="R24"/>
  <c r="R23"/>
  <c r="R22"/>
  <c r="R21"/>
  <c r="R20"/>
  <c r="R19"/>
  <c r="R18"/>
  <c r="R17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F31" l="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AH16"/>
  <c r="AG16"/>
  <c r="AD16"/>
  <c r="AF16" s="1"/>
  <c r="AH15"/>
  <c r="AG15"/>
  <c r="AD15"/>
  <c r="AF15" s="1"/>
  <c r="AH14"/>
  <c r="AG14"/>
  <c r="AD14"/>
  <c r="AF14" s="1"/>
  <c r="AH13"/>
  <c r="AG13"/>
  <c r="AD13"/>
  <c r="AF13" s="1"/>
  <c r="AH12"/>
  <c r="AG12"/>
  <c r="AD12"/>
  <c r="AF12" s="1"/>
  <c r="AH11"/>
  <c r="AG11"/>
  <c r="AD11"/>
  <c r="AF11" s="1"/>
  <c r="AH10"/>
  <c r="AG10"/>
  <c r="AD10"/>
  <c r="AF10" s="1"/>
  <c r="AH9"/>
  <c r="AG9"/>
  <c r="AD9"/>
  <c r="AF9" s="1"/>
  <c r="AH8"/>
  <c r="AG8"/>
  <c r="AD8"/>
  <c r="AF8" s="1"/>
  <c r="AH7"/>
  <c r="AG7"/>
  <c r="AD7"/>
  <c r="AF7" s="1"/>
  <c r="AH6"/>
  <c r="AG6"/>
  <c r="AD6"/>
  <c r="AF6" s="1"/>
  <c r="AH5"/>
  <c r="AG5"/>
  <c r="AD5"/>
  <c r="AF5" s="1"/>
  <c r="AH4"/>
  <c r="AG4"/>
  <c r="AD4"/>
  <c r="AF4" s="1"/>
  <c r="AH3"/>
  <c r="AG3"/>
  <c r="AD3"/>
  <c r="AF3" s="1"/>
  <c r="AH2"/>
  <c r="AG2"/>
  <c r="AD2"/>
  <c r="AF2" s="1"/>
  <c r="AA16"/>
  <c r="AA15"/>
  <c r="AA14"/>
  <c r="AA13"/>
  <c r="AA12"/>
  <c r="AA11"/>
  <c r="AA10"/>
  <c r="AA9"/>
  <c r="AA8"/>
  <c r="AA7"/>
  <c r="AA6"/>
  <c r="AA5"/>
  <c r="AA4"/>
  <c r="AA3"/>
  <c r="AA2"/>
  <c r="U3"/>
  <c r="V3" s="1"/>
  <c r="U4"/>
  <c r="V4" s="1"/>
  <c r="U5"/>
  <c r="V5" s="1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2"/>
  <c r="V2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2"/>
  <c r="O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2"/>
  <c r="G2" s="1"/>
  <c r="AC14"/>
  <c r="AC13"/>
  <c r="AC11"/>
  <c r="AC10"/>
  <c r="AC9"/>
  <c r="AC8"/>
  <c r="AC7"/>
  <c r="AC5"/>
  <c r="AC4"/>
  <c r="Y3"/>
  <c r="Z3" s="1"/>
  <c r="Y4"/>
  <c r="Z4" s="1"/>
  <c r="Y5"/>
  <c r="Z5" s="1"/>
  <c r="Y6"/>
  <c r="Z6" s="1"/>
  <c r="Y7"/>
  <c r="Z7" s="1"/>
  <c r="Y8"/>
  <c r="Z8" s="1"/>
  <c r="Y9"/>
  <c r="Z9" s="1"/>
  <c r="Y10"/>
  <c r="Z10" s="1"/>
  <c r="Y11"/>
  <c r="Z11" s="1"/>
  <c r="Y12"/>
  <c r="Z12" s="1"/>
  <c r="Y13"/>
  <c r="Z13" s="1"/>
  <c r="Y14"/>
  <c r="Z14" s="1"/>
  <c r="Y15"/>
  <c r="Z15" s="1"/>
  <c r="Y16"/>
  <c r="Z16" s="1"/>
  <c r="Y2"/>
  <c r="Z2" s="1"/>
  <c r="R3"/>
  <c r="R4"/>
  <c r="R5"/>
  <c r="R6"/>
  <c r="R7"/>
  <c r="R8"/>
  <c r="R9"/>
  <c r="R10"/>
  <c r="R11"/>
  <c r="R12"/>
  <c r="R13"/>
  <c r="R14"/>
  <c r="R15"/>
  <c r="R16"/>
  <c r="R2"/>
  <c r="AI2" l="1"/>
  <c r="AI6"/>
  <c r="AI10"/>
  <c r="AI14"/>
  <c r="AI3"/>
  <c r="AI7"/>
  <c r="AI11"/>
  <c r="AI15"/>
  <c r="AI5"/>
  <c r="AI9"/>
  <c r="AI13"/>
  <c r="AI16"/>
  <c r="AI4"/>
  <c r="AI8"/>
  <c r="AI12"/>
</calcChain>
</file>

<file path=xl/sharedStrings.xml><?xml version="1.0" encoding="utf-8"?>
<sst xmlns="http://schemas.openxmlformats.org/spreadsheetml/2006/main" count="81" uniqueCount="39">
  <si>
    <t>Plant</t>
  </si>
  <si>
    <t>Treatment</t>
  </si>
  <si>
    <t>Block</t>
  </si>
  <si>
    <t>Start_height</t>
  </si>
  <si>
    <t>End_height</t>
  </si>
  <si>
    <t>Start_area</t>
  </si>
  <si>
    <t>End_area</t>
  </si>
  <si>
    <t>Start_tillers</t>
  </si>
  <si>
    <t>End_tillers</t>
  </si>
  <si>
    <t>Start_biomass</t>
  </si>
  <si>
    <t>End_biomass</t>
  </si>
  <si>
    <t>Control</t>
  </si>
  <si>
    <t>High</t>
  </si>
  <si>
    <t>Low</t>
  </si>
  <si>
    <t>Start_leaves</t>
  </si>
  <si>
    <t>End_leaves</t>
  </si>
  <si>
    <t>Leaf_gain</t>
  </si>
  <si>
    <t>Tiller_gain</t>
  </si>
  <si>
    <t>Height_gain</t>
  </si>
  <si>
    <t>Area_gain</t>
  </si>
  <si>
    <t>Biomass_gain</t>
  </si>
  <si>
    <t>Root_shoot</t>
  </si>
  <si>
    <t>Prokelisia_load</t>
  </si>
  <si>
    <t>Height_RGR</t>
  </si>
  <si>
    <t>Area_RGR</t>
  </si>
  <si>
    <t>Biomass_RGR</t>
  </si>
  <si>
    <t>Leaf_RGR</t>
  </si>
  <si>
    <t>Above_fresh_weight</t>
  </si>
  <si>
    <t>Above_dry_weight</t>
  </si>
  <si>
    <t>Above_water_content</t>
  </si>
  <si>
    <t>Whole_fresh_weight</t>
  </si>
  <si>
    <t>Whole_dry_weight</t>
  </si>
  <si>
    <t>Whole_water_content</t>
  </si>
  <si>
    <t>Prokelisia</t>
  </si>
  <si>
    <t>Start_length</t>
  </si>
  <si>
    <t>End_length</t>
  </si>
  <si>
    <t>Length_gain</t>
  </si>
  <si>
    <t>Length_RGR</t>
  </si>
  <si>
    <t>Root_biomass</t>
  </si>
</sst>
</file>

<file path=xl/styles.xml><?xml version="1.0" encoding="utf-8"?>
<styleSheet xmlns="http://schemas.openxmlformats.org/spreadsheetml/2006/main">
  <numFmts count="1">
    <numFmt numFmtId="164" formatCode="0.0000000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2" borderId="0" xfId="0" applyNumberFormat="1" applyFill="1" applyBorder="1"/>
    <xf numFmtId="0" fontId="0" fillId="0" borderId="0" xfId="0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"/>
  <sheetViews>
    <sheetView tabSelected="1" topLeftCell="Y1" workbookViewId="0">
      <selection activeCell="AL13" sqref="AL13"/>
    </sheetView>
  </sheetViews>
  <sheetFormatPr defaultRowHeight="15"/>
  <cols>
    <col min="1" max="1" width="5.5703125" bestFit="1" customWidth="1"/>
    <col min="2" max="2" width="10.28515625" bestFit="1" customWidth="1"/>
    <col min="3" max="3" width="5.7109375" bestFit="1" customWidth="1"/>
    <col min="4" max="4" width="11.85546875" customWidth="1"/>
    <col min="5" max="5" width="11" customWidth="1"/>
    <col min="6" max="6" width="11.5703125" customWidth="1"/>
    <col min="7" max="7" width="17.7109375" style="3" customWidth="1"/>
    <col min="8" max="8" width="11.140625" style="2" customWidth="1"/>
    <col min="9" max="9" width="11" style="2" bestFit="1" customWidth="1"/>
    <col min="10" max="10" width="11.7109375" style="2" bestFit="1" customWidth="1"/>
    <col min="11" max="11" width="12.5703125" style="3" bestFit="1" customWidth="1"/>
    <col min="12" max="12" width="10" style="1" bestFit="1" customWidth="1"/>
    <col min="13" max="13" width="16.7109375" style="3" customWidth="1"/>
    <col min="14" max="14" width="17.5703125" style="3" customWidth="1"/>
    <col min="15" max="15" width="15.85546875" style="3" customWidth="1"/>
    <col min="16" max="16" width="11.28515625" customWidth="1"/>
    <col min="17" max="17" width="10.42578125" style="2" customWidth="1"/>
    <col min="18" max="18" width="10.28515625" customWidth="1"/>
    <col min="19" max="19" width="13.5703125" style="6" customWidth="1"/>
    <col min="20" max="20" width="12.5703125" style="1" customWidth="1"/>
    <col min="21" max="21" width="13.140625" style="1" customWidth="1"/>
    <col min="22" max="22" width="13.140625" style="3" customWidth="1"/>
    <col min="23" max="23" width="11.85546875" customWidth="1"/>
    <col min="24" max="24" width="11" style="2" customWidth="1"/>
    <col min="25" max="25" width="9.42578125" customWidth="1"/>
    <col min="26" max="26" width="15.42578125" style="3" customWidth="1"/>
    <col min="27" max="27" width="12.5703125" style="3" bestFit="1" customWidth="1"/>
    <col min="28" max="28" width="9.7109375" style="2" bestFit="1" customWidth="1"/>
    <col min="29" max="29" width="14.85546875" style="3" bestFit="1" customWidth="1"/>
    <col min="30" max="30" width="19.7109375" style="1" bestFit="1" customWidth="1"/>
    <col min="31" max="31" width="13.7109375" style="1" bestFit="1" customWidth="1"/>
    <col min="32" max="32" width="21" style="3" bestFit="1" customWidth="1"/>
    <col min="33" max="34" width="13.7109375" style="1" bestFit="1" customWidth="1"/>
    <col min="35" max="35" width="12.5703125" style="3" bestFit="1" customWidth="1"/>
  </cols>
  <sheetData>
    <row r="1" spans="1:3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</v>
      </c>
      <c r="G1" s="3" t="s">
        <v>23</v>
      </c>
      <c r="H1" s="2" t="s">
        <v>34</v>
      </c>
      <c r="I1" s="2" t="s">
        <v>35</v>
      </c>
      <c r="J1" s="2" t="s">
        <v>36</v>
      </c>
      <c r="K1" s="3" t="s">
        <v>37</v>
      </c>
      <c r="L1" s="1" t="s">
        <v>5</v>
      </c>
      <c r="M1" s="3" t="s">
        <v>6</v>
      </c>
      <c r="N1" s="3" t="s">
        <v>19</v>
      </c>
      <c r="O1" s="3" t="s">
        <v>24</v>
      </c>
      <c r="P1" t="s">
        <v>7</v>
      </c>
      <c r="Q1" s="2" t="s">
        <v>8</v>
      </c>
      <c r="R1" t="s">
        <v>17</v>
      </c>
      <c r="S1" s="6" t="s">
        <v>9</v>
      </c>
      <c r="T1" s="1" t="s">
        <v>10</v>
      </c>
      <c r="U1" s="1" t="s">
        <v>20</v>
      </c>
      <c r="V1" s="3" t="s">
        <v>25</v>
      </c>
      <c r="W1" t="s">
        <v>14</v>
      </c>
      <c r="X1" s="2" t="s">
        <v>15</v>
      </c>
      <c r="Y1" t="s">
        <v>16</v>
      </c>
      <c r="Z1" s="3" t="s">
        <v>26</v>
      </c>
      <c r="AA1" s="3" t="s">
        <v>21</v>
      </c>
      <c r="AB1" s="2" t="s">
        <v>33</v>
      </c>
      <c r="AC1" s="3" t="s">
        <v>22</v>
      </c>
      <c r="AD1" s="1" t="s">
        <v>27</v>
      </c>
      <c r="AE1" s="1" t="s">
        <v>28</v>
      </c>
      <c r="AF1" s="3" t="s">
        <v>29</v>
      </c>
      <c r="AG1" s="1" t="s">
        <v>30</v>
      </c>
      <c r="AH1" s="1" t="s">
        <v>31</v>
      </c>
      <c r="AI1" s="3" t="s">
        <v>32</v>
      </c>
      <c r="AJ1" s="1" t="s">
        <v>38</v>
      </c>
      <c r="AK1" s="1"/>
      <c r="AL1" s="1"/>
    </row>
    <row r="2" spans="1:38">
      <c r="A2">
        <v>1</v>
      </c>
      <c r="B2" t="s">
        <v>11</v>
      </c>
      <c r="C2">
        <v>1</v>
      </c>
      <c r="D2">
        <v>375</v>
      </c>
      <c r="E2">
        <v>707</v>
      </c>
      <c r="F2">
        <f t="shared" ref="F2:F46" si="0">E2-D2</f>
        <v>332</v>
      </c>
      <c r="G2" s="3">
        <f>F2/D2</f>
        <v>0.88533333333333331</v>
      </c>
      <c r="H2" s="2">
        <v>2088</v>
      </c>
      <c r="I2" s="2">
        <v>6581</v>
      </c>
      <c r="J2" s="2">
        <f>I2-H2</f>
        <v>4493</v>
      </c>
      <c r="K2" s="3">
        <f>J2/H2</f>
        <v>2.1518199233716473</v>
      </c>
      <c r="L2" s="1">
        <v>6714.72</v>
      </c>
      <c r="M2" s="3">
        <v>23966.91</v>
      </c>
      <c r="N2" s="3">
        <f t="shared" ref="N2:N46" si="1">M2-L2</f>
        <v>17252.189999999999</v>
      </c>
      <c r="O2" s="3">
        <f>N2/L2</f>
        <v>2.5693089212953031</v>
      </c>
      <c r="P2">
        <v>5</v>
      </c>
      <c r="Q2" s="2">
        <v>7</v>
      </c>
      <c r="R2">
        <f t="shared" ref="R2:R46" si="2">Q2-P2</f>
        <v>2</v>
      </c>
      <c r="S2" s="6">
        <v>2.0328768000000004</v>
      </c>
      <c r="T2" s="1">
        <v>11.1</v>
      </c>
      <c r="U2" s="1">
        <f t="shared" ref="U2:U46" si="3">T2-S2</f>
        <v>9.0671231999999993</v>
      </c>
      <c r="V2" s="3">
        <f>U2/S2</f>
        <v>4.4602423521189269</v>
      </c>
      <c r="W2">
        <v>18</v>
      </c>
      <c r="X2" s="2">
        <v>37</v>
      </c>
      <c r="Y2" s="2">
        <f t="shared" ref="Y2:Y46" si="4">X2-W2</f>
        <v>19</v>
      </c>
      <c r="Z2" s="3">
        <f>Y2/W2</f>
        <v>1.0555555555555556</v>
      </c>
      <c r="AA2" s="3">
        <f>7.59/T2</f>
        <v>0.68378378378378379</v>
      </c>
      <c r="AB2" s="2">
        <v>0</v>
      </c>
      <c r="AC2" s="3">
        <v>0</v>
      </c>
      <c r="AD2" s="1">
        <f>30.85+0.88</f>
        <v>31.73</v>
      </c>
      <c r="AE2" s="1">
        <v>11.1</v>
      </c>
      <c r="AF2" s="3">
        <f>(AD2-AE2)/AE2</f>
        <v>1.8585585585585589</v>
      </c>
      <c r="AG2" s="1">
        <f>30.85+0.88+31.82</f>
        <v>63.55</v>
      </c>
      <c r="AH2" s="1">
        <f>10.48+0.62+7.59</f>
        <v>18.689999999999998</v>
      </c>
      <c r="AI2" s="3">
        <f>(AG2-AH2)/AH2</f>
        <v>2.4002140181915466</v>
      </c>
      <c r="AJ2" s="1">
        <f>AH2-AE2</f>
        <v>7.5899999999999981</v>
      </c>
    </row>
    <row r="3" spans="1:38">
      <c r="A3">
        <v>2</v>
      </c>
      <c r="B3" t="s">
        <v>11</v>
      </c>
      <c r="C3">
        <v>1</v>
      </c>
      <c r="D3">
        <v>297</v>
      </c>
      <c r="E3">
        <v>470</v>
      </c>
      <c r="F3">
        <f t="shared" si="0"/>
        <v>173</v>
      </c>
      <c r="G3" s="3">
        <f t="shared" ref="G3:G46" si="5">F3/D3</f>
        <v>0.5824915824915825</v>
      </c>
      <c r="H3" s="2">
        <v>922</v>
      </c>
      <c r="I3" s="2">
        <v>3352</v>
      </c>
      <c r="J3" s="2">
        <f t="shared" ref="J3:J46" si="6">I3-H3</f>
        <v>2430</v>
      </c>
      <c r="K3" s="3">
        <f t="shared" ref="K3:K46" si="7">J3/H3</f>
        <v>2.635574837310195</v>
      </c>
      <c r="L3" s="1">
        <v>2909.65</v>
      </c>
      <c r="M3" s="3">
        <v>11180.4</v>
      </c>
      <c r="N3" s="3">
        <f t="shared" si="1"/>
        <v>8270.75</v>
      </c>
      <c r="O3" s="3">
        <f t="shared" ref="O3:O46" si="8">N3/L3</f>
        <v>2.8425240149158832</v>
      </c>
      <c r="P3">
        <v>3</v>
      </c>
      <c r="Q3" s="2">
        <v>8</v>
      </c>
      <c r="R3">
        <f t="shared" si="2"/>
        <v>5</v>
      </c>
      <c r="S3" s="6">
        <v>0.8976592000000001</v>
      </c>
      <c r="T3" s="1">
        <v>4.6500000000000004</v>
      </c>
      <c r="U3" s="1">
        <f t="shared" si="3"/>
        <v>3.7523408000000003</v>
      </c>
      <c r="V3" s="3">
        <f t="shared" ref="V3:V46" si="9">U3/S3</f>
        <v>4.1801396342843695</v>
      </c>
      <c r="W3">
        <v>12</v>
      </c>
      <c r="X3" s="2">
        <v>35</v>
      </c>
      <c r="Y3" s="2">
        <f t="shared" si="4"/>
        <v>23</v>
      </c>
      <c r="Z3" s="3">
        <f t="shared" ref="Z3:Z46" si="10">Y3/W3</f>
        <v>1.9166666666666667</v>
      </c>
      <c r="AA3" s="3">
        <f>10.6/T3</f>
        <v>2.279569892473118</v>
      </c>
      <c r="AB3" s="2">
        <v>0</v>
      </c>
      <c r="AC3" s="3">
        <v>0</v>
      </c>
      <c r="AD3" s="1">
        <f>11.25+0.68</f>
        <v>11.93</v>
      </c>
      <c r="AE3" s="1">
        <v>4.6500000000000004</v>
      </c>
      <c r="AF3" s="3">
        <f t="shared" ref="AF3:AF46" si="11">(AD3-AE3)/AE3</f>
        <v>1.5655913978494622</v>
      </c>
      <c r="AG3" s="1">
        <f>11.25+0.68+30.05</f>
        <v>41.980000000000004</v>
      </c>
      <c r="AH3" s="1">
        <f>4.37+0.28+10.6</f>
        <v>15.25</v>
      </c>
      <c r="AI3" s="3">
        <f t="shared" ref="AI3:AI46" si="12">(AG3-AH3)/AH3</f>
        <v>1.7527868852459019</v>
      </c>
      <c r="AJ3" s="1">
        <f t="shared" ref="AJ3:AJ46" si="13">AH3-AE3</f>
        <v>10.6</v>
      </c>
    </row>
    <row r="4" spans="1:38">
      <c r="A4">
        <v>3</v>
      </c>
      <c r="B4" t="s">
        <v>12</v>
      </c>
      <c r="C4">
        <v>1</v>
      </c>
      <c r="D4">
        <v>225</v>
      </c>
      <c r="E4">
        <v>307</v>
      </c>
      <c r="F4">
        <f t="shared" si="0"/>
        <v>82</v>
      </c>
      <c r="G4" s="3">
        <f t="shared" si="5"/>
        <v>0.36444444444444446</v>
      </c>
      <c r="H4" s="2">
        <v>1482</v>
      </c>
      <c r="I4" s="2">
        <v>2706</v>
      </c>
      <c r="J4" s="2">
        <f t="shared" si="6"/>
        <v>1224</v>
      </c>
      <c r="K4" s="3">
        <f t="shared" si="7"/>
        <v>0.82591093117408909</v>
      </c>
      <c r="L4" s="1">
        <v>4369</v>
      </c>
      <c r="M4" s="3">
        <v>8297.52</v>
      </c>
      <c r="N4" s="3">
        <f t="shared" si="1"/>
        <v>3928.5200000000004</v>
      </c>
      <c r="O4" s="3">
        <f t="shared" si="8"/>
        <v>0.89918059052414745</v>
      </c>
      <c r="P4">
        <v>4</v>
      </c>
      <c r="Q4" s="2">
        <v>7</v>
      </c>
      <c r="R4">
        <f t="shared" si="2"/>
        <v>3</v>
      </c>
      <c r="S4" s="6">
        <v>1.4428752</v>
      </c>
      <c r="T4" s="1">
        <v>2.67</v>
      </c>
      <c r="U4" s="1">
        <f t="shared" si="3"/>
        <v>1.2271247999999999</v>
      </c>
      <c r="V4" s="3">
        <f t="shared" si="9"/>
        <v>0.85047189112405552</v>
      </c>
      <c r="W4">
        <v>19</v>
      </c>
      <c r="X4" s="2">
        <v>29</v>
      </c>
      <c r="Y4" s="2">
        <f t="shared" si="4"/>
        <v>10</v>
      </c>
      <c r="Z4" s="3">
        <f t="shared" si="10"/>
        <v>0.52631578947368418</v>
      </c>
      <c r="AA4" s="3">
        <f>5.74/T4</f>
        <v>2.1498127340823969</v>
      </c>
      <c r="AB4" s="2">
        <v>436</v>
      </c>
      <c r="AC4" s="3">
        <f>436/T4</f>
        <v>163.29588014981275</v>
      </c>
      <c r="AD4" s="1">
        <f>1.89+2.34</f>
        <v>4.2299999999999995</v>
      </c>
      <c r="AE4" s="1">
        <v>2.67</v>
      </c>
      <c r="AF4" s="3">
        <f t="shared" si="11"/>
        <v>0.58426966292134819</v>
      </c>
      <c r="AG4" s="1">
        <f>1.89+2.34+19.12</f>
        <v>23.35</v>
      </c>
      <c r="AH4" s="1">
        <f>1.06+1.61+5.74</f>
        <v>8.41</v>
      </c>
      <c r="AI4" s="3">
        <f t="shared" si="12"/>
        <v>1.7764565992865637</v>
      </c>
      <c r="AJ4" s="1">
        <f t="shared" si="13"/>
        <v>5.74</v>
      </c>
    </row>
    <row r="5" spans="1:38">
      <c r="A5">
        <v>4</v>
      </c>
      <c r="B5" t="s">
        <v>13</v>
      </c>
      <c r="C5">
        <v>1</v>
      </c>
      <c r="D5">
        <v>396</v>
      </c>
      <c r="E5">
        <v>613</v>
      </c>
      <c r="F5">
        <f t="shared" si="0"/>
        <v>217</v>
      </c>
      <c r="G5" s="3">
        <f t="shared" si="5"/>
        <v>0.54797979797979801</v>
      </c>
      <c r="H5" s="2">
        <v>1632</v>
      </c>
      <c r="I5" s="2">
        <v>3971</v>
      </c>
      <c r="J5" s="2">
        <f t="shared" si="6"/>
        <v>2339</v>
      </c>
      <c r="K5" s="3">
        <f t="shared" si="7"/>
        <v>1.4332107843137254</v>
      </c>
      <c r="L5" s="1">
        <v>5768.7</v>
      </c>
      <c r="M5" s="3">
        <v>13473.91</v>
      </c>
      <c r="N5" s="3">
        <f t="shared" si="1"/>
        <v>7705.21</v>
      </c>
      <c r="O5" s="3">
        <f t="shared" si="8"/>
        <v>1.3356926170541024</v>
      </c>
      <c r="P5">
        <v>4</v>
      </c>
      <c r="Q5" s="2">
        <v>5</v>
      </c>
      <c r="R5">
        <f t="shared" si="2"/>
        <v>1</v>
      </c>
      <c r="S5" s="6">
        <v>1.5889152</v>
      </c>
      <c r="T5" s="1">
        <v>9.93</v>
      </c>
      <c r="U5" s="1">
        <f t="shared" si="3"/>
        <v>8.3410847999999991</v>
      </c>
      <c r="V5" s="3">
        <f t="shared" si="9"/>
        <v>5.2495468606505868</v>
      </c>
      <c r="W5">
        <v>16</v>
      </c>
      <c r="X5" s="2">
        <v>29</v>
      </c>
      <c r="Y5" s="2">
        <f t="shared" si="4"/>
        <v>13</v>
      </c>
      <c r="Z5" s="3">
        <f t="shared" si="10"/>
        <v>0.8125</v>
      </c>
      <c r="AA5" s="3">
        <f>10.7/T5</f>
        <v>1.0775427995971802</v>
      </c>
      <c r="AB5" s="2">
        <v>623</v>
      </c>
      <c r="AC5" s="3">
        <f>623/T5</f>
        <v>62.739174219536757</v>
      </c>
      <c r="AD5" s="1">
        <f>16.45+1.95</f>
        <v>18.399999999999999</v>
      </c>
      <c r="AE5" s="1">
        <v>9.93</v>
      </c>
      <c r="AF5" s="3">
        <f t="shared" si="11"/>
        <v>0.85297079556898281</v>
      </c>
      <c r="AG5" s="1">
        <f>16.45+1.95+23.99</f>
        <v>42.39</v>
      </c>
      <c r="AH5" s="1">
        <f>8.6+1.33+10.7</f>
        <v>20.63</v>
      </c>
      <c r="AI5" s="3">
        <f t="shared" si="12"/>
        <v>1.0547746000969462</v>
      </c>
      <c r="AJ5" s="1">
        <f t="shared" si="13"/>
        <v>10.7</v>
      </c>
    </row>
    <row r="6" spans="1:38">
      <c r="A6">
        <v>5</v>
      </c>
      <c r="B6" t="s">
        <v>11</v>
      </c>
      <c r="C6">
        <v>1</v>
      </c>
      <c r="D6">
        <v>270</v>
      </c>
      <c r="E6">
        <v>557</v>
      </c>
      <c r="F6">
        <f t="shared" si="0"/>
        <v>287</v>
      </c>
      <c r="G6" s="3">
        <f t="shared" si="5"/>
        <v>1.0629629629629629</v>
      </c>
      <c r="H6" s="2">
        <v>1206</v>
      </c>
      <c r="I6" s="2">
        <v>4546</v>
      </c>
      <c r="J6" s="2">
        <f t="shared" si="6"/>
        <v>3340</v>
      </c>
      <c r="K6" s="3">
        <f t="shared" si="7"/>
        <v>2.7694859038142621</v>
      </c>
      <c r="L6" s="1">
        <v>3628.17</v>
      </c>
      <c r="M6" s="3">
        <v>15596</v>
      </c>
      <c r="N6" s="3">
        <f t="shared" si="1"/>
        <v>11967.83</v>
      </c>
      <c r="O6" s="3">
        <f t="shared" si="8"/>
        <v>3.2985857884277747</v>
      </c>
      <c r="P6">
        <v>4</v>
      </c>
      <c r="Q6" s="2">
        <v>8</v>
      </c>
      <c r="R6">
        <f t="shared" si="2"/>
        <v>4</v>
      </c>
      <c r="S6" s="6">
        <v>1.1741615999999999</v>
      </c>
      <c r="T6" s="1">
        <v>7.76</v>
      </c>
      <c r="U6" s="1">
        <f t="shared" si="3"/>
        <v>6.5858384000000001</v>
      </c>
      <c r="V6" s="3">
        <f t="shared" si="9"/>
        <v>5.6089710309040939</v>
      </c>
      <c r="W6">
        <v>13</v>
      </c>
      <c r="X6" s="2">
        <v>31</v>
      </c>
      <c r="Y6" s="2">
        <f t="shared" si="4"/>
        <v>18</v>
      </c>
      <c r="Z6" s="3">
        <f t="shared" si="10"/>
        <v>1.3846153846153846</v>
      </c>
      <c r="AA6" s="3">
        <f>14.52/T6</f>
        <v>1.8711340206185567</v>
      </c>
      <c r="AB6" s="2">
        <v>0</v>
      </c>
      <c r="AC6" s="3">
        <v>0</v>
      </c>
      <c r="AD6" s="1">
        <f>14.31+1.32</f>
        <v>15.63</v>
      </c>
      <c r="AE6" s="1">
        <v>7.76</v>
      </c>
      <c r="AF6" s="3">
        <f t="shared" si="11"/>
        <v>1.0141752577319589</v>
      </c>
      <c r="AG6" s="1">
        <f>14.31+1.32+34.26</f>
        <v>49.89</v>
      </c>
      <c r="AH6" s="1">
        <f>6.73+1.03+14.52</f>
        <v>22.28</v>
      </c>
      <c r="AI6" s="3">
        <f t="shared" si="12"/>
        <v>1.2392280071813284</v>
      </c>
      <c r="AJ6" s="1">
        <f t="shared" si="13"/>
        <v>14.520000000000001</v>
      </c>
    </row>
    <row r="7" spans="1:38">
      <c r="A7">
        <v>6</v>
      </c>
      <c r="B7" t="s">
        <v>13</v>
      </c>
      <c r="C7">
        <v>1</v>
      </c>
      <c r="D7">
        <v>200</v>
      </c>
      <c r="E7">
        <v>324</v>
      </c>
      <c r="F7">
        <f t="shared" si="0"/>
        <v>124</v>
      </c>
      <c r="G7" s="3">
        <f t="shared" si="5"/>
        <v>0.62</v>
      </c>
      <c r="H7" s="2">
        <v>1031</v>
      </c>
      <c r="I7" s="2">
        <v>2662</v>
      </c>
      <c r="J7" s="2">
        <f t="shared" si="6"/>
        <v>1631</v>
      </c>
      <c r="K7" s="3">
        <f t="shared" si="7"/>
        <v>1.5819592628516004</v>
      </c>
      <c r="L7" s="1">
        <v>3069.68</v>
      </c>
      <c r="M7" s="3">
        <v>8805.6299999999992</v>
      </c>
      <c r="N7" s="3">
        <f t="shared" si="1"/>
        <v>5735.9499999999989</v>
      </c>
      <c r="O7" s="3">
        <f t="shared" si="8"/>
        <v>1.8685823929530112</v>
      </c>
      <c r="P7">
        <v>3</v>
      </c>
      <c r="Q7" s="2">
        <v>4</v>
      </c>
      <c r="R7">
        <f t="shared" si="2"/>
        <v>1</v>
      </c>
      <c r="S7" s="6">
        <v>1.0037816000000002</v>
      </c>
      <c r="T7" s="1">
        <v>4.76</v>
      </c>
      <c r="U7" s="1">
        <f t="shared" si="3"/>
        <v>3.7562183999999998</v>
      </c>
      <c r="V7" s="3">
        <f t="shared" si="9"/>
        <v>3.7420673979279946</v>
      </c>
      <c r="W7">
        <v>14</v>
      </c>
      <c r="X7" s="2">
        <v>21</v>
      </c>
      <c r="Y7" s="2">
        <f t="shared" si="4"/>
        <v>7</v>
      </c>
      <c r="Z7" s="3">
        <f t="shared" si="10"/>
        <v>0.5</v>
      </c>
      <c r="AA7" s="3">
        <f>9.35/T7</f>
        <v>1.9642857142857142</v>
      </c>
      <c r="AB7" s="2">
        <v>244</v>
      </c>
      <c r="AC7" s="3">
        <f>244/T7</f>
        <v>51.260504201680675</v>
      </c>
      <c r="AD7" s="1">
        <f>8.2+0.54</f>
        <v>8.7399999999999984</v>
      </c>
      <c r="AE7" s="1">
        <v>4.76</v>
      </c>
      <c r="AF7" s="3">
        <f t="shared" si="11"/>
        <v>0.83613445378151241</v>
      </c>
      <c r="AG7" s="1">
        <f>8.2+0.54+18.25</f>
        <v>26.99</v>
      </c>
      <c r="AH7" s="1">
        <f>4.42+0.34+9.35</f>
        <v>14.11</v>
      </c>
      <c r="AI7" s="3">
        <f t="shared" si="12"/>
        <v>0.9128277817150956</v>
      </c>
      <c r="AJ7" s="1">
        <f t="shared" si="13"/>
        <v>9.35</v>
      </c>
    </row>
    <row r="8" spans="1:38">
      <c r="A8">
        <v>7</v>
      </c>
      <c r="B8" t="s">
        <v>13</v>
      </c>
      <c r="C8">
        <v>1</v>
      </c>
      <c r="D8">
        <v>297</v>
      </c>
      <c r="E8">
        <v>416</v>
      </c>
      <c r="F8">
        <f t="shared" si="0"/>
        <v>119</v>
      </c>
      <c r="G8" s="3">
        <f t="shared" si="5"/>
        <v>0.40067340067340068</v>
      </c>
      <c r="H8" s="2">
        <v>767</v>
      </c>
      <c r="I8" s="2">
        <v>2199</v>
      </c>
      <c r="J8" s="2">
        <f t="shared" si="6"/>
        <v>1432</v>
      </c>
      <c r="K8" s="3">
        <f t="shared" si="7"/>
        <v>1.8670143415906129</v>
      </c>
      <c r="L8" s="1">
        <v>2635.53</v>
      </c>
      <c r="M8" s="3">
        <v>7765.64</v>
      </c>
      <c r="N8" s="3">
        <f t="shared" si="1"/>
        <v>5130.1100000000006</v>
      </c>
      <c r="O8" s="3">
        <f t="shared" si="8"/>
        <v>1.9465192959290922</v>
      </c>
      <c r="P8">
        <v>3</v>
      </c>
      <c r="Q8" s="2">
        <v>3</v>
      </c>
      <c r="R8">
        <f t="shared" si="2"/>
        <v>0</v>
      </c>
      <c r="S8" s="6">
        <v>0.74675120000000006</v>
      </c>
      <c r="T8" s="1">
        <v>3.89</v>
      </c>
      <c r="U8" s="1">
        <f t="shared" si="3"/>
        <v>3.1432488000000003</v>
      </c>
      <c r="V8" s="3">
        <f t="shared" si="9"/>
        <v>4.2092316691288882</v>
      </c>
      <c r="W8">
        <v>10</v>
      </c>
      <c r="X8" s="2">
        <v>16</v>
      </c>
      <c r="Y8" s="2">
        <f t="shared" si="4"/>
        <v>6</v>
      </c>
      <c r="Z8" s="3">
        <f t="shared" si="10"/>
        <v>0.6</v>
      </c>
      <c r="AA8" s="3">
        <f>3.2/T8</f>
        <v>0.82262210796915169</v>
      </c>
      <c r="AB8" s="2">
        <v>470</v>
      </c>
      <c r="AC8" s="3">
        <f>470/T8</f>
        <v>120.82262210796915</v>
      </c>
      <c r="AD8" s="1">
        <f>5.71+1.17</f>
        <v>6.88</v>
      </c>
      <c r="AE8" s="1">
        <v>3.89</v>
      </c>
      <c r="AF8" s="3">
        <f t="shared" si="11"/>
        <v>0.76863753213367603</v>
      </c>
      <c r="AG8" s="1">
        <f>5.71+1.17+10.33</f>
        <v>17.21</v>
      </c>
      <c r="AH8" s="1">
        <f>2.97+0.92+3.2</f>
        <v>7.09</v>
      </c>
      <c r="AI8" s="3">
        <f t="shared" si="12"/>
        <v>1.4273624823695348</v>
      </c>
      <c r="AJ8" s="1">
        <f t="shared" si="13"/>
        <v>3.1999999999999997</v>
      </c>
    </row>
    <row r="9" spans="1:38">
      <c r="A9">
        <v>8</v>
      </c>
      <c r="B9" t="s">
        <v>12</v>
      </c>
      <c r="C9">
        <v>1</v>
      </c>
      <c r="D9">
        <v>422</v>
      </c>
      <c r="E9">
        <v>424</v>
      </c>
      <c r="F9">
        <f t="shared" si="0"/>
        <v>2</v>
      </c>
      <c r="G9" s="3">
        <f t="shared" si="5"/>
        <v>4.7393364928909956E-3</v>
      </c>
      <c r="H9" s="2">
        <v>1517</v>
      </c>
      <c r="I9" s="2">
        <v>4004</v>
      </c>
      <c r="J9" s="2">
        <f t="shared" si="6"/>
        <v>2487</v>
      </c>
      <c r="K9" s="3">
        <f t="shared" si="7"/>
        <v>1.6394199077125906</v>
      </c>
      <c r="L9" s="1">
        <v>5278.86</v>
      </c>
      <c r="M9" s="3">
        <v>13974.47</v>
      </c>
      <c r="N9" s="3">
        <f t="shared" si="1"/>
        <v>8695.61</v>
      </c>
      <c r="O9" s="3">
        <f t="shared" si="8"/>
        <v>1.6472514899050177</v>
      </c>
      <c r="P9">
        <v>4</v>
      </c>
      <c r="Q9" s="2">
        <v>5</v>
      </c>
      <c r="R9">
        <f t="shared" si="2"/>
        <v>1</v>
      </c>
      <c r="S9" s="6">
        <v>1.4769512</v>
      </c>
      <c r="T9" s="1">
        <v>7.67</v>
      </c>
      <c r="U9" s="1">
        <f t="shared" si="3"/>
        <v>6.1930487999999997</v>
      </c>
      <c r="V9" s="3">
        <f t="shared" si="9"/>
        <v>4.1931302808109026</v>
      </c>
      <c r="W9">
        <v>13</v>
      </c>
      <c r="X9" s="2">
        <v>26</v>
      </c>
      <c r="Y9" s="2">
        <f t="shared" si="4"/>
        <v>13</v>
      </c>
      <c r="Z9" s="3">
        <f t="shared" si="10"/>
        <v>1</v>
      </c>
      <c r="AA9" s="3">
        <f>16.46/T9</f>
        <v>2.1460234680573667</v>
      </c>
      <c r="AB9" s="2">
        <v>1190</v>
      </c>
      <c r="AC9" s="3">
        <f>1190/T9</f>
        <v>155.14993481095175</v>
      </c>
      <c r="AD9" s="1">
        <f>11.1+2.9</f>
        <v>14</v>
      </c>
      <c r="AE9" s="1">
        <v>7.67</v>
      </c>
      <c r="AF9" s="3">
        <f t="shared" si="11"/>
        <v>0.82529335071707954</v>
      </c>
      <c r="AG9" s="1">
        <f>11.1+2.9+35.97</f>
        <v>49.97</v>
      </c>
      <c r="AH9" s="1">
        <f>5.99+1.68+16.46</f>
        <v>24.130000000000003</v>
      </c>
      <c r="AI9" s="3">
        <f t="shared" si="12"/>
        <v>1.0708661417322831</v>
      </c>
      <c r="AJ9" s="1">
        <f t="shared" si="13"/>
        <v>16.46</v>
      </c>
    </row>
    <row r="10" spans="1:38">
      <c r="A10">
        <v>9</v>
      </c>
      <c r="B10" t="s">
        <v>12</v>
      </c>
      <c r="C10">
        <v>1</v>
      </c>
      <c r="D10">
        <v>224</v>
      </c>
      <c r="E10">
        <v>358</v>
      </c>
      <c r="F10">
        <f t="shared" si="0"/>
        <v>134</v>
      </c>
      <c r="G10" s="3">
        <f t="shared" si="5"/>
        <v>0.5982142857142857</v>
      </c>
      <c r="H10" s="2">
        <v>916</v>
      </c>
      <c r="I10" s="2">
        <v>2499</v>
      </c>
      <c r="J10" s="2">
        <f t="shared" si="6"/>
        <v>1583</v>
      </c>
      <c r="K10" s="3">
        <f t="shared" si="7"/>
        <v>1.7281659388646289</v>
      </c>
      <c r="L10" s="1">
        <v>2674.69</v>
      </c>
      <c r="M10" s="3">
        <v>8167.35</v>
      </c>
      <c r="N10" s="3">
        <f t="shared" si="1"/>
        <v>5492.66</v>
      </c>
      <c r="O10" s="3">
        <f t="shared" si="8"/>
        <v>2.0535688247983876</v>
      </c>
      <c r="P10">
        <v>3</v>
      </c>
      <c r="Q10" s="2">
        <v>5</v>
      </c>
      <c r="R10">
        <f t="shared" si="2"/>
        <v>2</v>
      </c>
      <c r="S10" s="6">
        <v>0.89181759999999999</v>
      </c>
      <c r="T10" s="1">
        <v>3.92</v>
      </c>
      <c r="U10" s="1">
        <f t="shared" si="3"/>
        <v>3.0281823999999999</v>
      </c>
      <c r="V10" s="3">
        <f t="shared" si="9"/>
        <v>3.3955176484518805</v>
      </c>
      <c r="W10">
        <v>13</v>
      </c>
      <c r="X10" s="2">
        <v>22</v>
      </c>
      <c r="Y10" s="2">
        <f t="shared" si="4"/>
        <v>9</v>
      </c>
      <c r="Z10" s="3">
        <f t="shared" si="10"/>
        <v>0.69230769230769229</v>
      </c>
      <c r="AA10" s="3">
        <f>3.61/T10</f>
        <v>0.92091836734693877</v>
      </c>
      <c r="AB10" s="2">
        <v>558</v>
      </c>
      <c r="AC10" s="3">
        <f>558/T10</f>
        <v>142.34693877551021</v>
      </c>
      <c r="AD10" s="1">
        <f>6.6+1.15</f>
        <v>7.75</v>
      </c>
      <c r="AE10" s="1">
        <v>3.92</v>
      </c>
      <c r="AF10" s="3">
        <f t="shared" si="11"/>
        <v>0.97704081632653061</v>
      </c>
      <c r="AG10" s="1">
        <f>6.6+1.15+15.53</f>
        <v>23.28</v>
      </c>
      <c r="AH10" s="1">
        <f>3.28+0.64+3.61</f>
        <v>7.5299999999999994</v>
      </c>
      <c r="AI10" s="3">
        <f t="shared" si="12"/>
        <v>2.0916334661354585</v>
      </c>
      <c r="AJ10" s="1">
        <f t="shared" si="13"/>
        <v>3.6099999999999994</v>
      </c>
    </row>
    <row r="11" spans="1:38">
      <c r="A11">
        <v>10</v>
      </c>
      <c r="B11" t="s">
        <v>13</v>
      </c>
      <c r="C11">
        <v>1</v>
      </c>
      <c r="D11">
        <v>267</v>
      </c>
      <c r="E11">
        <v>413</v>
      </c>
      <c r="F11">
        <f t="shared" si="0"/>
        <v>146</v>
      </c>
      <c r="G11" s="3">
        <f t="shared" si="5"/>
        <v>0.54681647940074907</v>
      </c>
      <c r="H11" s="2">
        <v>1066</v>
      </c>
      <c r="I11" s="2">
        <v>3347</v>
      </c>
      <c r="J11" s="2">
        <f t="shared" si="6"/>
        <v>2281</v>
      </c>
      <c r="K11" s="3">
        <f t="shared" si="7"/>
        <v>2.1397748592870545</v>
      </c>
      <c r="L11" s="1">
        <v>3221.09</v>
      </c>
      <c r="M11" s="3">
        <v>11618.69</v>
      </c>
      <c r="N11" s="3">
        <f t="shared" si="1"/>
        <v>8397.6</v>
      </c>
      <c r="O11" s="3">
        <f t="shared" si="8"/>
        <v>2.6070677938213462</v>
      </c>
      <c r="P11">
        <v>3</v>
      </c>
      <c r="Q11" s="2">
        <v>6</v>
      </c>
      <c r="R11">
        <f t="shared" si="2"/>
        <v>3</v>
      </c>
      <c r="S11" s="6">
        <v>1.0378576000000002</v>
      </c>
      <c r="T11" s="1">
        <v>4.41</v>
      </c>
      <c r="U11" s="1">
        <f t="shared" si="3"/>
        <v>3.3721424</v>
      </c>
      <c r="V11" s="3">
        <f t="shared" si="9"/>
        <v>3.2491378393336423</v>
      </c>
      <c r="W11">
        <v>16</v>
      </c>
      <c r="X11" s="2">
        <v>26</v>
      </c>
      <c r="Y11" s="2">
        <f t="shared" si="4"/>
        <v>10</v>
      </c>
      <c r="Z11" s="3">
        <f t="shared" si="10"/>
        <v>0.625</v>
      </c>
      <c r="AA11" s="3">
        <f>5.5/T11</f>
        <v>1.2471655328798186</v>
      </c>
      <c r="AB11" s="2">
        <v>1005</v>
      </c>
      <c r="AC11" s="3">
        <f>1005/T11</f>
        <v>227.89115646258503</v>
      </c>
      <c r="AD11" s="1">
        <f>7.45+1.52</f>
        <v>8.9700000000000006</v>
      </c>
      <c r="AE11" s="1">
        <v>4.41</v>
      </c>
      <c r="AF11" s="3">
        <f t="shared" si="11"/>
        <v>1.0340136054421769</v>
      </c>
      <c r="AG11" s="1">
        <f>7.45+1.52+12.88</f>
        <v>21.85</v>
      </c>
      <c r="AH11" s="1">
        <f>3.16+1.25+5.5</f>
        <v>9.91</v>
      </c>
      <c r="AI11" s="3">
        <f t="shared" si="12"/>
        <v>1.2048435923309788</v>
      </c>
      <c r="AJ11" s="1">
        <f t="shared" si="13"/>
        <v>5.5</v>
      </c>
    </row>
    <row r="12" spans="1:38">
      <c r="A12">
        <v>11</v>
      </c>
      <c r="B12" t="s">
        <v>13</v>
      </c>
      <c r="C12">
        <v>1</v>
      </c>
      <c r="D12">
        <v>258</v>
      </c>
      <c r="E12">
        <v>540</v>
      </c>
      <c r="F12">
        <f t="shared" si="0"/>
        <v>282</v>
      </c>
      <c r="G12" s="3">
        <f t="shared" si="5"/>
        <v>1.0930232558139534</v>
      </c>
      <c r="H12" s="2">
        <v>1181</v>
      </c>
      <c r="I12" s="2">
        <v>3677</v>
      </c>
      <c r="J12" s="2">
        <f t="shared" si="6"/>
        <v>2496</v>
      </c>
      <c r="K12" s="3">
        <f t="shared" si="7"/>
        <v>2.1134631668077901</v>
      </c>
      <c r="L12" s="1">
        <v>4049.22</v>
      </c>
      <c r="M12" s="3">
        <v>12800.38</v>
      </c>
      <c r="N12" s="3">
        <f t="shared" si="1"/>
        <v>8751.16</v>
      </c>
      <c r="O12" s="3">
        <f t="shared" si="8"/>
        <v>2.1611964773462544</v>
      </c>
      <c r="P12">
        <v>2</v>
      </c>
      <c r="Q12" s="2">
        <v>6</v>
      </c>
      <c r="R12">
        <f t="shared" si="2"/>
        <v>4</v>
      </c>
      <c r="S12" s="6">
        <v>1.1498216000000001</v>
      </c>
      <c r="T12" s="1">
        <v>7.52</v>
      </c>
      <c r="U12" s="1">
        <f t="shared" si="3"/>
        <v>6.3701783999999995</v>
      </c>
      <c r="V12" s="3">
        <f t="shared" si="9"/>
        <v>5.5401450103216003</v>
      </c>
      <c r="W12">
        <v>9</v>
      </c>
      <c r="X12" s="2">
        <v>26</v>
      </c>
      <c r="Y12" s="2">
        <f t="shared" si="4"/>
        <v>17</v>
      </c>
      <c r="Z12" s="3">
        <f t="shared" si="10"/>
        <v>1.8888888888888888</v>
      </c>
      <c r="AA12" s="3">
        <f>9.31/T12</f>
        <v>1.2380319148936172</v>
      </c>
      <c r="AB12" s="2">
        <v>588</v>
      </c>
      <c r="AC12" s="3">
        <f>588/T12</f>
        <v>78.191489361702139</v>
      </c>
      <c r="AD12" s="1">
        <f>12.72+1.8</f>
        <v>14.520000000000001</v>
      </c>
      <c r="AE12" s="1">
        <v>7.52</v>
      </c>
      <c r="AF12" s="3">
        <f t="shared" si="11"/>
        <v>0.93085106382978755</v>
      </c>
      <c r="AG12" s="1">
        <f>12.72+1.8+25.08</f>
        <v>39.6</v>
      </c>
      <c r="AH12" s="1">
        <f>6.51+1.01+9.31</f>
        <v>16.829999999999998</v>
      </c>
      <c r="AI12" s="3">
        <f t="shared" si="12"/>
        <v>1.3529411764705885</v>
      </c>
      <c r="AJ12" s="1">
        <f t="shared" si="13"/>
        <v>9.3099999999999987</v>
      </c>
    </row>
    <row r="13" spans="1:38">
      <c r="A13">
        <v>12</v>
      </c>
      <c r="B13" t="s">
        <v>12</v>
      </c>
      <c r="C13">
        <v>1</v>
      </c>
      <c r="D13">
        <v>354</v>
      </c>
      <c r="E13">
        <v>409</v>
      </c>
      <c r="F13">
        <f t="shared" si="0"/>
        <v>55</v>
      </c>
      <c r="G13" s="3">
        <f t="shared" si="5"/>
        <v>0.15536723163841809</v>
      </c>
      <c r="H13" s="2">
        <v>1260</v>
      </c>
      <c r="I13" s="2">
        <v>2878</v>
      </c>
      <c r="J13" s="2">
        <f t="shared" si="6"/>
        <v>1618</v>
      </c>
      <c r="K13" s="3">
        <f t="shared" si="7"/>
        <v>1.2841269841269842</v>
      </c>
      <c r="L13" s="1">
        <v>4166.1099999999997</v>
      </c>
      <c r="M13" s="3">
        <v>10070.07</v>
      </c>
      <c r="N13" s="3">
        <f t="shared" si="1"/>
        <v>5903.96</v>
      </c>
      <c r="O13" s="3">
        <f t="shared" si="8"/>
        <v>1.4171397298679105</v>
      </c>
      <c r="P13">
        <v>3</v>
      </c>
      <c r="Q13" s="2">
        <v>5</v>
      </c>
      <c r="R13">
        <f t="shared" si="2"/>
        <v>2</v>
      </c>
      <c r="S13" s="6">
        <v>1.226736</v>
      </c>
      <c r="T13" s="1">
        <v>5.29</v>
      </c>
      <c r="U13" s="1">
        <f t="shared" si="3"/>
        <v>4.0632640000000002</v>
      </c>
      <c r="V13" s="3">
        <f t="shared" si="9"/>
        <v>3.3122562637763955</v>
      </c>
      <c r="W13">
        <v>10</v>
      </c>
      <c r="X13" s="2">
        <v>23</v>
      </c>
      <c r="Y13" s="2">
        <f t="shared" si="4"/>
        <v>13</v>
      </c>
      <c r="Z13" s="3">
        <f t="shared" si="10"/>
        <v>1.3</v>
      </c>
      <c r="AA13" s="3">
        <f>6.03/T13</f>
        <v>1.1398865784499055</v>
      </c>
      <c r="AB13" s="2">
        <v>434</v>
      </c>
      <c r="AC13" s="3">
        <f>434/T13</f>
        <v>82.04158790170132</v>
      </c>
      <c r="AD13" s="1">
        <f>6.42+1.62</f>
        <v>8.0399999999999991</v>
      </c>
      <c r="AE13" s="1">
        <v>5.29</v>
      </c>
      <c r="AF13" s="3">
        <f t="shared" si="11"/>
        <v>0.5198487712665405</v>
      </c>
      <c r="AG13" s="1">
        <f>6.42+1.62+15.03</f>
        <v>23.07</v>
      </c>
      <c r="AH13" s="1">
        <f>4.13+1.16+6.03</f>
        <v>11.32</v>
      </c>
      <c r="AI13" s="3">
        <f t="shared" si="12"/>
        <v>1.0379858657243817</v>
      </c>
      <c r="AJ13" s="1">
        <f t="shared" si="13"/>
        <v>6.03</v>
      </c>
    </row>
    <row r="14" spans="1:38">
      <c r="A14">
        <v>13</v>
      </c>
      <c r="B14" t="s">
        <v>12</v>
      </c>
      <c r="C14">
        <v>1</v>
      </c>
      <c r="D14">
        <v>256</v>
      </c>
      <c r="E14">
        <v>319</v>
      </c>
      <c r="F14">
        <f t="shared" si="0"/>
        <v>63</v>
      </c>
      <c r="G14" s="3">
        <f t="shared" si="5"/>
        <v>0.24609375</v>
      </c>
      <c r="H14" s="2">
        <v>1228</v>
      </c>
      <c r="I14" s="2">
        <v>2254</v>
      </c>
      <c r="J14" s="2">
        <f t="shared" si="6"/>
        <v>1026</v>
      </c>
      <c r="K14" s="3">
        <f t="shared" si="7"/>
        <v>0.83550488599348538</v>
      </c>
      <c r="L14" s="1">
        <v>3674.94</v>
      </c>
      <c r="M14" s="3">
        <v>7781.92</v>
      </c>
      <c r="N14" s="3">
        <f t="shared" si="1"/>
        <v>4106.9799999999996</v>
      </c>
      <c r="O14" s="3">
        <f t="shared" si="8"/>
        <v>1.1175638241712789</v>
      </c>
      <c r="P14">
        <v>2</v>
      </c>
      <c r="Q14" s="2">
        <v>3</v>
      </c>
      <c r="R14">
        <f t="shared" si="2"/>
        <v>1</v>
      </c>
      <c r="S14" s="6">
        <v>1.1955808000000001</v>
      </c>
      <c r="T14" s="1">
        <v>3.01</v>
      </c>
      <c r="U14" s="1">
        <f t="shared" si="3"/>
        <v>1.8144191999999997</v>
      </c>
      <c r="V14" s="3">
        <f t="shared" si="9"/>
        <v>1.517604832730669</v>
      </c>
      <c r="W14">
        <v>10</v>
      </c>
      <c r="X14" s="2">
        <v>17</v>
      </c>
      <c r="Y14" s="2">
        <f t="shared" si="4"/>
        <v>7</v>
      </c>
      <c r="Z14" s="3">
        <f t="shared" si="10"/>
        <v>0.7</v>
      </c>
      <c r="AA14" s="3">
        <f>4.37/T14</f>
        <v>1.451827242524917</v>
      </c>
      <c r="AB14" s="2">
        <v>102</v>
      </c>
      <c r="AC14" s="3">
        <f>102/T14</f>
        <v>33.887043189368775</v>
      </c>
      <c r="AD14" s="1">
        <f>0.25+3.9</f>
        <v>4.1500000000000004</v>
      </c>
      <c r="AE14" s="1">
        <v>3.01</v>
      </c>
      <c r="AF14" s="3">
        <f t="shared" si="11"/>
        <v>0.37873754152823941</v>
      </c>
      <c r="AG14" s="1">
        <f>0.25+3.9+12.42</f>
        <v>16.57</v>
      </c>
      <c r="AH14" s="1">
        <f>0.13+2.88+4.37</f>
        <v>7.38</v>
      </c>
      <c r="AI14" s="3">
        <f t="shared" si="12"/>
        <v>1.2452574525745259</v>
      </c>
      <c r="AJ14" s="1">
        <f t="shared" si="13"/>
        <v>4.37</v>
      </c>
    </row>
    <row r="15" spans="1:38">
      <c r="A15">
        <v>14</v>
      </c>
      <c r="B15" t="s">
        <v>11</v>
      </c>
      <c r="C15">
        <v>1</v>
      </c>
      <c r="D15">
        <v>290</v>
      </c>
      <c r="E15">
        <v>594</v>
      </c>
      <c r="F15">
        <f t="shared" si="0"/>
        <v>304</v>
      </c>
      <c r="G15" s="3">
        <f t="shared" si="5"/>
        <v>1.0482758620689656</v>
      </c>
      <c r="H15" s="2">
        <v>1596</v>
      </c>
      <c r="I15" s="2">
        <v>5233</v>
      </c>
      <c r="J15" s="2">
        <f t="shared" si="6"/>
        <v>3637</v>
      </c>
      <c r="K15" s="3">
        <f t="shared" si="7"/>
        <v>2.2788220551378444</v>
      </c>
      <c r="L15" s="1">
        <v>5146.74</v>
      </c>
      <c r="M15" s="3">
        <v>18043.75</v>
      </c>
      <c r="N15" s="3">
        <f t="shared" si="1"/>
        <v>12897.01</v>
      </c>
      <c r="O15" s="3">
        <f t="shared" si="8"/>
        <v>2.5058600201292469</v>
      </c>
      <c r="P15">
        <v>5</v>
      </c>
      <c r="Q15" s="2">
        <v>10</v>
      </c>
      <c r="R15">
        <f t="shared" si="2"/>
        <v>5</v>
      </c>
      <c r="S15" s="6">
        <v>1.5538656000000002</v>
      </c>
      <c r="T15" s="1">
        <v>11.43</v>
      </c>
      <c r="U15" s="1">
        <f t="shared" si="3"/>
        <v>9.8761343999999998</v>
      </c>
      <c r="V15" s="3">
        <f t="shared" si="9"/>
        <v>6.3558485367074207</v>
      </c>
      <c r="W15">
        <v>18</v>
      </c>
      <c r="X15" s="2">
        <v>42</v>
      </c>
      <c r="Y15" s="2">
        <f t="shared" si="4"/>
        <v>24</v>
      </c>
      <c r="Z15" s="3">
        <f t="shared" si="10"/>
        <v>1.3333333333333333</v>
      </c>
      <c r="AA15" s="3">
        <f>12.09/T15</f>
        <v>1.0577427821522309</v>
      </c>
      <c r="AB15" s="2">
        <v>0</v>
      </c>
      <c r="AC15" s="3">
        <f>AB15/T15</f>
        <v>0</v>
      </c>
      <c r="AD15" s="1">
        <f>21.75+0.4</f>
        <v>22.15</v>
      </c>
      <c r="AE15" s="1">
        <v>11.43</v>
      </c>
      <c r="AF15" s="3">
        <f t="shared" si="11"/>
        <v>0.93788276465441811</v>
      </c>
      <c r="AG15" s="1">
        <f>21.75+0.4+37.71</f>
        <v>59.86</v>
      </c>
      <c r="AH15" s="1">
        <f>11.24+0.19+12.09</f>
        <v>23.52</v>
      </c>
      <c r="AI15" s="3">
        <f t="shared" si="12"/>
        <v>1.5450680272108845</v>
      </c>
      <c r="AJ15" s="1">
        <f t="shared" si="13"/>
        <v>12.09</v>
      </c>
    </row>
    <row r="16" spans="1:38">
      <c r="A16">
        <v>15</v>
      </c>
      <c r="B16" t="s">
        <v>11</v>
      </c>
      <c r="C16">
        <v>1</v>
      </c>
      <c r="D16">
        <v>343</v>
      </c>
      <c r="E16">
        <v>577</v>
      </c>
      <c r="F16">
        <f t="shared" si="0"/>
        <v>234</v>
      </c>
      <c r="G16" s="3">
        <f t="shared" si="5"/>
        <v>0.68221574344023328</v>
      </c>
      <c r="H16" s="2">
        <v>1129</v>
      </c>
      <c r="I16" s="2">
        <v>3153</v>
      </c>
      <c r="J16" s="2">
        <f t="shared" si="6"/>
        <v>2024</v>
      </c>
      <c r="K16" s="3">
        <f t="shared" si="7"/>
        <v>1.7927369353410096</v>
      </c>
      <c r="L16" s="1">
        <v>3811.81</v>
      </c>
      <c r="M16" s="3">
        <v>10636.5</v>
      </c>
      <c r="N16" s="3">
        <f t="shared" si="1"/>
        <v>6824.6900000000005</v>
      </c>
      <c r="O16" s="3">
        <f t="shared" si="8"/>
        <v>1.7904066572048452</v>
      </c>
      <c r="P16">
        <v>4</v>
      </c>
      <c r="Q16" s="2">
        <v>5</v>
      </c>
      <c r="R16">
        <f t="shared" si="2"/>
        <v>1</v>
      </c>
      <c r="S16" s="6">
        <v>1.0991944000000002</v>
      </c>
      <c r="T16" s="1">
        <v>5.96</v>
      </c>
      <c r="U16" s="1">
        <f t="shared" si="3"/>
        <v>4.8608055999999999</v>
      </c>
      <c r="V16" s="3">
        <f t="shared" si="9"/>
        <v>4.4221528057275394</v>
      </c>
      <c r="W16">
        <v>12</v>
      </c>
      <c r="X16" s="2">
        <v>28</v>
      </c>
      <c r="Y16" s="2">
        <f t="shared" si="4"/>
        <v>16</v>
      </c>
      <c r="Z16" s="3">
        <f t="shared" si="10"/>
        <v>1.3333333333333333</v>
      </c>
      <c r="AA16" s="3">
        <f>6.52/T16</f>
        <v>1.093959731543624</v>
      </c>
      <c r="AB16" s="2">
        <v>0</v>
      </c>
      <c r="AC16" s="3">
        <f t="shared" ref="AC16:AC46" si="14">AB16/T16</f>
        <v>0</v>
      </c>
      <c r="AD16" s="1">
        <f>12.35+0.84</f>
        <v>13.19</v>
      </c>
      <c r="AE16" s="1">
        <v>5.96</v>
      </c>
      <c r="AF16" s="3">
        <f t="shared" si="11"/>
        <v>1.2130872483221475</v>
      </c>
      <c r="AG16" s="1">
        <f>12.35+0.84+29.1</f>
        <v>42.29</v>
      </c>
      <c r="AH16" s="1">
        <f>5.42+0.54+6.52</f>
        <v>12.48</v>
      </c>
      <c r="AI16" s="3">
        <f t="shared" si="12"/>
        <v>2.3886217948717947</v>
      </c>
      <c r="AJ16" s="1">
        <f t="shared" si="13"/>
        <v>6.5200000000000005</v>
      </c>
    </row>
    <row r="17" spans="1:36">
      <c r="A17">
        <v>16</v>
      </c>
      <c r="B17" t="s">
        <v>11</v>
      </c>
      <c r="C17">
        <v>2</v>
      </c>
      <c r="D17">
        <v>415</v>
      </c>
      <c r="E17">
        <v>530</v>
      </c>
      <c r="F17">
        <f t="shared" si="0"/>
        <v>115</v>
      </c>
      <c r="G17" s="3">
        <f t="shared" si="5"/>
        <v>0.27710843373493976</v>
      </c>
      <c r="H17" s="2">
        <v>1861</v>
      </c>
      <c r="I17" s="2">
        <v>5077</v>
      </c>
      <c r="J17" s="2">
        <f t="shared" si="6"/>
        <v>3216</v>
      </c>
      <c r="K17" s="3">
        <f t="shared" si="7"/>
        <v>1.7281031703385277</v>
      </c>
      <c r="L17" s="1">
        <v>6118.25</v>
      </c>
      <c r="M17" s="3">
        <v>17687.467857913405</v>
      </c>
      <c r="N17" s="3">
        <f t="shared" si="1"/>
        <v>11569.217857913405</v>
      </c>
      <c r="O17" s="3">
        <f t="shared" si="8"/>
        <v>1.8909357835840976</v>
      </c>
      <c r="P17">
        <v>6</v>
      </c>
      <c r="Q17" s="2">
        <v>8</v>
      </c>
      <c r="R17">
        <f t="shared" si="2"/>
        <v>2</v>
      </c>
      <c r="S17" s="6">
        <v>1.8118696000000001</v>
      </c>
      <c r="T17" s="1">
        <v>4.4800000000000004</v>
      </c>
      <c r="U17" s="1">
        <f t="shared" si="3"/>
        <v>2.6681304000000003</v>
      </c>
      <c r="V17" s="3">
        <f t="shared" si="9"/>
        <v>1.4725841197401845</v>
      </c>
      <c r="W17">
        <v>16</v>
      </c>
      <c r="X17" s="2">
        <v>38</v>
      </c>
      <c r="Y17" s="2">
        <f t="shared" si="4"/>
        <v>22</v>
      </c>
      <c r="Z17" s="3">
        <f t="shared" si="10"/>
        <v>1.375</v>
      </c>
      <c r="AA17" s="3">
        <f>5.62/T17</f>
        <v>1.2544642857142856</v>
      </c>
      <c r="AB17" s="2">
        <v>0</v>
      </c>
      <c r="AC17" s="3">
        <f t="shared" si="14"/>
        <v>0</v>
      </c>
      <c r="AD17" s="1">
        <v>17.260000000000002</v>
      </c>
      <c r="AE17" s="4">
        <v>4.4800000000000004</v>
      </c>
      <c r="AF17" s="3">
        <f t="shared" si="11"/>
        <v>2.8526785714285716</v>
      </c>
      <c r="AG17" s="1">
        <v>47.62</v>
      </c>
      <c r="AH17" s="1">
        <v>10.1</v>
      </c>
      <c r="AI17" s="3">
        <f t="shared" si="12"/>
        <v>3.7148514851485146</v>
      </c>
      <c r="AJ17" s="1">
        <f t="shared" si="13"/>
        <v>5.6199999999999992</v>
      </c>
    </row>
    <row r="18" spans="1:36">
      <c r="A18">
        <v>17</v>
      </c>
      <c r="B18" t="s">
        <v>12</v>
      </c>
      <c r="C18">
        <v>2</v>
      </c>
      <c r="D18">
        <v>448</v>
      </c>
      <c r="E18">
        <v>474</v>
      </c>
      <c r="F18">
        <f t="shared" si="0"/>
        <v>26</v>
      </c>
      <c r="G18" s="3">
        <f t="shared" si="5"/>
        <v>5.8035714285714288E-2</v>
      </c>
      <c r="H18" s="2">
        <v>1443</v>
      </c>
      <c r="I18" s="2">
        <v>2279</v>
      </c>
      <c r="J18" s="2">
        <f t="shared" si="6"/>
        <v>836</v>
      </c>
      <c r="K18" s="3">
        <f t="shared" si="7"/>
        <v>0.57934857934857931</v>
      </c>
      <c r="L18" s="1">
        <v>5200.16</v>
      </c>
      <c r="M18" s="3">
        <v>7718.7887438193593</v>
      </c>
      <c r="N18" s="3">
        <f t="shared" si="1"/>
        <v>2518.6287438193594</v>
      </c>
      <c r="O18" s="3">
        <f t="shared" si="8"/>
        <v>0.48433677883360504</v>
      </c>
      <c r="P18">
        <v>5</v>
      </c>
      <c r="Q18" s="2">
        <v>5</v>
      </c>
      <c r="R18">
        <f t="shared" si="2"/>
        <v>0</v>
      </c>
      <c r="S18" s="6">
        <v>1.4049048000000002</v>
      </c>
      <c r="T18" s="1">
        <v>1.96</v>
      </c>
      <c r="U18" s="1">
        <f t="shared" si="3"/>
        <v>0.55509519999999979</v>
      </c>
      <c r="V18" s="3">
        <f t="shared" si="9"/>
        <v>0.39511232362505966</v>
      </c>
      <c r="W18">
        <v>14</v>
      </c>
      <c r="X18" s="2">
        <v>23</v>
      </c>
      <c r="Y18" s="2">
        <f t="shared" si="4"/>
        <v>9</v>
      </c>
      <c r="Z18" s="3">
        <f t="shared" si="10"/>
        <v>0.6428571428571429</v>
      </c>
      <c r="AA18" s="3">
        <f>2.29/T18</f>
        <v>1.1683673469387756</v>
      </c>
      <c r="AB18" s="2">
        <v>228</v>
      </c>
      <c r="AC18" s="3">
        <f t="shared" si="14"/>
        <v>116.32653061224489</v>
      </c>
      <c r="AD18" s="1">
        <v>4.6900000000000004</v>
      </c>
      <c r="AE18" s="1">
        <v>1.96</v>
      </c>
      <c r="AF18" s="3">
        <f t="shared" si="11"/>
        <v>1.392857142857143</v>
      </c>
      <c r="AG18" s="1">
        <v>18.21</v>
      </c>
      <c r="AH18" s="1">
        <v>4.25</v>
      </c>
      <c r="AI18" s="3">
        <f t="shared" si="12"/>
        <v>3.2847058823529416</v>
      </c>
      <c r="AJ18" s="1">
        <f t="shared" si="13"/>
        <v>2.29</v>
      </c>
    </row>
    <row r="19" spans="1:36">
      <c r="A19">
        <v>18</v>
      </c>
      <c r="B19" t="s">
        <v>12</v>
      </c>
      <c r="C19">
        <v>2</v>
      </c>
      <c r="D19">
        <v>464</v>
      </c>
      <c r="E19">
        <v>651</v>
      </c>
      <c r="F19">
        <f t="shared" si="0"/>
        <v>187</v>
      </c>
      <c r="G19" s="3">
        <f t="shared" si="5"/>
        <v>0.40301724137931033</v>
      </c>
      <c r="H19" s="2">
        <v>1252</v>
      </c>
      <c r="I19" s="2">
        <v>1944</v>
      </c>
      <c r="J19" s="2">
        <f t="shared" si="6"/>
        <v>692</v>
      </c>
      <c r="K19" s="3">
        <f t="shared" si="7"/>
        <v>0.55271565495207664</v>
      </c>
      <c r="L19" s="1">
        <v>4217.49</v>
      </c>
      <c r="M19" s="3">
        <v>6320.0375915172599</v>
      </c>
      <c r="N19" s="3">
        <f t="shared" si="1"/>
        <v>2102.5475915172601</v>
      </c>
      <c r="O19" s="3">
        <f t="shared" si="8"/>
        <v>0.49853054577894912</v>
      </c>
      <c r="P19">
        <v>2</v>
      </c>
      <c r="Q19" s="2">
        <v>2</v>
      </c>
      <c r="R19">
        <f t="shared" si="2"/>
        <v>0</v>
      </c>
      <c r="S19" s="6">
        <v>1.2189472000000001</v>
      </c>
      <c r="T19" s="1">
        <v>2.5499999999999998</v>
      </c>
      <c r="U19" s="1">
        <f t="shared" si="3"/>
        <v>1.3310527999999997</v>
      </c>
      <c r="V19" s="3">
        <f t="shared" si="9"/>
        <v>1.0919692009629289</v>
      </c>
      <c r="W19">
        <v>8</v>
      </c>
      <c r="X19" s="2">
        <v>12</v>
      </c>
      <c r="Y19" s="2">
        <f t="shared" si="4"/>
        <v>4</v>
      </c>
      <c r="Z19" s="3">
        <f t="shared" si="10"/>
        <v>0.5</v>
      </c>
      <c r="AA19" s="3">
        <f>1.19/T19</f>
        <v>0.46666666666666667</v>
      </c>
      <c r="AB19" s="2">
        <v>124</v>
      </c>
      <c r="AC19" s="3">
        <f t="shared" si="14"/>
        <v>48.627450980392162</v>
      </c>
      <c r="AD19" s="1">
        <v>7.51</v>
      </c>
      <c r="AE19" s="1">
        <v>2.5499999999999998</v>
      </c>
      <c r="AF19" s="3">
        <f t="shared" si="11"/>
        <v>1.9450980392156865</v>
      </c>
      <c r="AG19" s="1">
        <v>15.26</v>
      </c>
      <c r="AH19" s="1">
        <v>3.74</v>
      </c>
      <c r="AI19" s="3">
        <f t="shared" si="12"/>
        <v>3.0802139037433154</v>
      </c>
      <c r="AJ19" s="1">
        <f t="shared" si="13"/>
        <v>1.1900000000000004</v>
      </c>
    </row>
    <row r="20" spans="1:36">
      <c r="A20">
        <v>19</v>
      </c>
      <c r="B20" t="s">
        <v>13</v>
      </c>
      <c r="C20">
        <v>2</v>
      </c>
      <c r="D20">
        <v>594</v>
      </c>
      <c r="E20">
        <v>613</v>
      </c>
      <c r="F20">
        <f t="shared" si="0"/>
        <v>19</v>
      </c>
      <c r="G20" s="3">
        <f t="shared" si="5"/>
        <v>3.1986531986531987E-2</v>
      </c>
      <c r="H20" s="2">
        <v>1755</v>
      </c>
      <c r="I20" s="2">
        <v>3095</v>
      </c>
      <c r="J20" s="2">
        <f t="shared" si="6"/>
        <v>1340</v>
      </c>
      <c r="K20" s="3">
        <f t="shared" si="7"/>
        <v>0.76353276353276356</v>
      </c>
      <c r="L20" s="1">
        <v>6644.9</v>
      </c>
      <c r="M20" s="3">
        <v>11192.70228398136</v>
      </c>
      <c r="N20" s="3">
        <f t="shared" si="1"/>
        <v>4547.8022839813602</v>
      </c>
      <c r="O20" s="3">
        <f t="shared" si="8"/>
        <v>0.68440492467627212</v>
      </c>
      <c r="P20">
        <v>6</v>
      </c>
      <c r="Q20" s="2">
        <v>6</v>
      </c>
      <c r="R20">
        <f t="shared" si="2"/>
        <v>0</v>
      </c>
      <c r="S20" s="6">
        <v>1.7086680000000001</v>
      </c>
      <c r="T20" s="1">
        <v>2.61</v>
      </c>
      <c r="U20" s="1">
        <f t="shared" si="3"/>
        <v>0.9013319999999998</v>
      </c>
      <c r="V20" s="3">
        <f t="shared" si="9"/>
        <v>0.52750563596907052</v>
      </c>
      <c r="W20">
        <v>13</v>
      </c>
      <c r="X20" s="2">
        <v>22</v>
      </c>
      <c r="Y20" s="2">
        <f t="shared" si="4"/>
        <v>9</v>
      </c>
      <c r="Z20" s="3">
        <f t="shared" si="10"/>
        <v>0.69230769230769229</v>
      </c>
      <c r="AA20" s="3">
        <f>3.14/T20</f>
        <v>1.203065134099617</v>
      </c>
      <c r="AB20" s="2">
        <v>689</v>
      </c>
      <c r="AC20" s="3">
        <f t="shared" si="14"/>
        <v>263.98467432950196</v>
      </c>
      <c r="AD20" s="1">
        <v>8.23</v>
      </c>
      <c r="AE20" s="1">
        <v>2.61</v>
      </c>
      <c r="AF20" s="3">
        <f t="shared" si="11"/>
        <v>2.1532567049808433</v>
      </c>
      <c r="AG20" s="1">
        <v>27.41</v>
      </c>
      <c r="AH20" s="1">
        <v>5.75</v>
      </c>
      <c r="AI20" s="3">
        <f t="shared" si="12"/>
        <v>3.7669565217391305</v>
      </c>
      <c r="AJ20" s="1">
        <f t="shared" si="13"/>
        <v>3.14</v>
      </c>
    </row>
    <row r="21" spans="1:36">
      <c r="A21">
        <v>20</v>
      </c>
      <c r="B21" t="s">
        <v>12</v>
      </c>
      <c r="C21">
        <v>2</v>
      </c>
      <c r="D21">
        <v>450</v>
      </c>
      <c r="E21">
        <v>498</v>
      </c>
      <c r="F21">
        <f t="shared" si="0"/>
        <v>48</v>
      </c>
      <c r="G21" s="3">
        <f t="shared" si="5"/>
        <v>0.10666666666666667</v>
      </c>
      <c r="H21" s="2">
        <v>2375</v>
      </c>
      <c r="I21" s="2">
        <v>4553</v>
      </c>
      <c r="J21" s="2">
        <f t="shared" si="6"/>
        <v>2178</v>
      </c>
      <c r="K21" s="3">
        <f t="shared" si="7"/>
        <v>0.91705263157894734</v>
      </c>
      <c r="L21" s="1">
        <v>8485.6299999999992</v>
      </c>
      <c r="M21" s="3">
        <v>16313.860252754355</v>
      </c>
      <c r="N21" s="3">
        <f t="shared" si="1"/>
        <v>7828.2302527543561</v>
      </c>
      <c r="O21" s="3">
        <f t="shared" si="8"/>
        <v>0.92252787981026241</v>
      </c>
      <c r="P21">
        <v>5</v>
      </c>
      <c r="Q21" s="2">
        <v>5</v>
      </c>
      <c r="R21">
        <f t="shared" si="2"/>
        <v>0</v>
      </c>
      <c r="S21" s="6">
        <v>2.3123</v>
      </c>
      <c r="T21" s="1">
        <v>3.96</v>
      </c>
      <c r="U21" s="1">
        <f t="shared" si="3"/>
        <v>1.6476999999999999</v>
      </c>
      <c r="V21" s="3">
        <f t="shared" si="9"/>
        <v>0.71258054750681132</v>
      </c>
      <c r="W21">
        <v>18</v>
      </c>
      <c r="X21" s="2">
        <v>28</v>
      </c>
      <c r="Y21" s="2">
        <f t="shared" si="4"/>
        <v>10</v>
      </c>
      <c r="Z21" s="3">
        <f t="shared" si="10"/>
        <v>0.55555555555555558</v>
      </c>
      <c r="AA21" s="3">
        <f>5.46/T21</f>
        <v>1.3787878787878789</v>
      </c>
      <c r="AB21" s="2">
        <v>921</v>
      </c>
      <c r="AC21" s="3">
        <f t="shared" si="14"/>
        <v>232.57575757575756</v>
      </c>
      <c r="AD21" s="1">
        <v>14.97</v>
      </c>
      <c r="AE21" s="1">
        <v>3.96</v>
      </c>
      <c r="AF21" s="3">
        <f t="shared" si="11"/>
        <v>2.7803030303030307</v>
      </c>
      <c r="AG21" s="1">
        <v>44.55</v>
      </c>
      <c r="AH21" s="1">
        <v>9.42</v>
      </c>
      <c r="AI21" s="3">
        <f t="shared" si="12"/>
        <v>3.7292993630573243</v>
      </c>
      <c r="AJ21" s="1">
        <f t="shared" si="13"/>
        <v>5.46</v>
      </c>
    </row>
    <row r="22" spans="1:36">
      <c r="A22">
        <v>21</v>
      </c>
      <c r="B22" t="s">
        <v>12</v>
      </c>
      <c r="C22">
        <v>2</v>
      </c>
      <c r="D22">
        <v>412</v>
      </c>
      <c r="E22">
        <v>447</v>
      </c>
      <c r="F22">
        <f t="shared" si="0"/>
        <v>35</v>
      </c>
      <c r="G22" s="3">
        <f t="shared" si="5"/>
        <v>8.4951456310679616E-2</v>
      </c>
      <c r="H22" s="2">
        <v>2247</v>
      </c>
      <c r="I22" s="2">
        <v>3790</v>
      </c>
      <c r="J22" s="2">
        <f t="shared" si="6"/>
        <v>1543</v>
      </c>
      <c r="K22" s="3">
        <f t="shared" si="7"/>
        <v>0.68669336893635957</v>
      </c>
      <c r="L22" s="1">
        <v>7526.22</v>
      </c>
      <c r="M22" s="3">
        <v>12611.321351208158</v>
      </c>
      <c r="N22" s="3">
        <f t="shared" si="1"/>
        <v>5085.1013512081581</v>
      </c>
      <c r="O22" s="3">
        <f t="shared" si="8"/>
        <v>0.67565143607390665</v>
      </c>
      <c r="P22">
        <v>7</v>
      </c>
      <c r="Q22" s="2">
        <v>8</v>
      </c>
      <c r="R22">
        <f t="shared" si="2"/>
        <v>1</v>
      </c>
      <c r="S22" s="6">
        <v>2.1876791999999998</v>
      </c>
      <c r="T22" s="1">
        <v>2.88</v>
      </c>
      <c r="U22" s="1">
        <f t="shared" si="3"/>
        <v>0.69232080000000007</v>
      </c>
      <c r="V22" s="3">
        <f t="shared" si="9"/>
        <v>0.31646358387463763</v>
      </c>
      <c r="W22">
        <v>21</v>
      </c>
      <c r="X22" s="2">
        <v>36</v>
      </c>
      <c r="Y22" s="2">
        <f t="shared" si="4"/>
        <v>15</v>
      </c>
      <c r="Z22" s="3">
        <f t="shared" si="10"/>
        <v>0.7142857142857143</v>
      </c>
      <c r="AA22" s="3">
        <f>8.1/T22</f>
        <v>2.8125</v>
      </c>
      <c r="AB22" s="2">
        <v>399</v>
      </c>
      <c r="AC22" s="3">
        <f t="shared" si="14"/>
        <v>138.54166666666669</v>
      </c>
      <c r="AD22" s="1">
        <v>6.97</v>
      </c>
      <c r="AE22" s="1">
        <v>2.88</v>
      </c>
      <c r="AF22" s="3">
        <f t="shared" si="11"/>
        <v>1.4201388888888888</v>
      </c>
      <c r="AG22" s="1">
        <v>31.53</v>
      </c>
      <c r="AH22" s="1">
        <v>10.98</v>
      </c>
      <c r="AI22" s="3">
        <f t="shared" si="12"/>
        <v>1.8715846994535519</v>
      </c>
      <c r="AJ22" s="1">
        <f t="shared" si="13"/>
        <v>8.1000000000000014</v>
      </c>
    </row>
    <row r="23" spans="1:36">
      <c r="A23">
        <v>22</v>
      </c>
      <c r="B23" t="s">
        <v>13</v>
      </c>
      <c r="C23">
        <v>2</v>
      </c>
      <c r="D23">
        <v>479</v>
      </c>
      <c r="E23">
        <v>548</v>
      </c>
      <c r="F23">
        <f t="shared" si="0"/>
        <v>69</v>
      </c>
      <c r="G23" s="3">
        <f t="shared" si="5"/>
        <v>0.1440501043841336</v>
      </c>
      <c r="H23" s="2">
        <v>1983</v>
      </c>
      <c r="I23" s="2">
        <v>3685</v>
      </c>
      <c r="J23" s="2">
        <f t="shared" si="6"/>
        <v>1702</v>
      </c>
      <c r="K23" s="3">
        <f t="shared" si="7"/>
        <v>0.85829551185073116</v>
      </c>
      <c r="L23" s="1">
        <v>7059.63</v>
      </c>
      <c r="M23" s="3">
        <v>12367.351225504204</v>
      </c>
      <c r="N23" s="3">
        <f t="shared" si="1"/>
        <v>5307.7212255042041</v>
      </c>
      <c r="O23" s="3">
        <f t="shared" si="8"/>
        <v>0.75184127574734139</v>
      </c>
      <c r="P23">
        <v>6</v>
      </c>
      <c r="Q23" s="2">
        <v>6</v>
      </c>
      <c r="R23">
        <f t="shared" si="2"/>
        <v>0</v>
      </c>
      <c r="S23" s="6">
        <v>1.9306488000000002</v>
      </c>
      <c r="T23" s="1">
        <v>4.41</v>
      </c>
      <c r="U23" s="1">
        <f t="shared" si="3"/>
        <v>2.4793512</v>
      </c>
      <c r="V23" s="3">
        <f t="shared" si="9"/>
        <v>1.2842062212454175</v>
      </c>
      <c r="W23">
        <v>18</v>
      </c>
      <c r="X23" s="2">
        <v>29</v>
      </c>
      <c r="Y23" s="2">
        <f t="shared" si="4"/>
        <v>11</v>
      </c>
      <c r="Z23" s="3">
        <f t="shared" si="10"/>
        <v>0.61111111111111116</v>
      </c>
      <c r="AA23" s="3">
        <f>13.55/T23</f>
        <v>3.0725623582766439</v>
      </c>
      <c r="AB23" s="2">
        <v>761</v>
      </c>
      <c r="AC23" s="3">
        <f t="shared" si="14"/>
        <v>172.56235827664398</v>
      </c>
      <c r="AD23" s="1">
        <v>12.7</v>
      </c>
      <c r="AE23" s="1">
        <v>4.41</v>
      </c>
      <c r="AF23" s="3">
        <f t="shared" si="11"/>
        <v>1.8798185941043082</v>
      </c>
      <c r="AG23" s="1">
        <v>54.08</v>
      </c>
      <c r="AH23" s="1">
        <v>17.96</v>
      </c>
      <c r="AI23" s="3">
        <f t="shared" si="12"/>
        <v>2.0111358574610243</v>
      </c>
      <c r="AJ23" s="1">
        <f t="shared" si="13"/>
        <v>13.55</v>
      </c>
    </row>
    <row r="24" spans="1:36">
      <c r="A24">
        <v>23</v>
      </c>
      <c r="B24" t="s">
        <v>11</v>
      </c>
      <c r="C24">
        <v>2</v>
      </c>
      <c r="D24">
        <v>432</v>
      </c>
      <c r="E24">
        <v>691</v>
      </c>
      <c r="F24">
        <f t="shared" si="0"/>
        <v>259</v>
      </c>
      <c r="G24" s="3">
        <f t="shared" si="5"/>
        <v>0.59953703703703709</v>
      </c>
      <c r="H24" s="2">
        <v>1836</v>
      </c>
      <c r="I24" s="2">
        <v>3426</v>
      </c>
      <c r="J24" s="2">
        <f t="shared" si="6"/>
        <v>1590</v>
      </c>
      <c r="K24" s="3">
        <f t="shared" si="7"/>
        <v>0.86601307189542487</v>
      </c>
      <c r="L24" s="1">
        <v>6456.02</v>
      </c>
      <c r="M24" s="3">
        <v>11550.726422076599</v>
      </c>
      <c r="N24" s="3">
        <f t="shared" si="1"/>
        <v>5094.7064220765988</v>
      </c>
      <c r="O24" s="3">
        <f t="shared" si="8"/>
        <v>0.78914043359168629</v>
      </c>
      <c r="P24">
        <v>4</v>
      </c>
      <c r="Q24" s="2">
        <v>4</v>
      </c>
      <c r="R24">
        <f t="shared" si="2"/>
        <v>0</v>
      </c>
      <c r="S24" s="6">
        <v>1.7875296000000001</v>
      </c>
      <c r="T24" s="1">
        <v>3.88</v>
      </c>
      <c r="U24" s="1">
        <f t="shared" si="3"/>
        <v>2.0924703999999998</v>
      </c>
      <c r="V24" s="3">
        <f t="shared" si="9"/>
        <v>1.1705934268165403</v>
      </c>
      <c r="W24">
        <v>15</v>
      </c>
      <c r="X24" s="2">
        <v>23</v>
      </c>
      <c r="Y24" s="2">
        <f t="shared" si="4"/>
        <v>8</v>
      </c>
      <c r="Z24" s="3">
        <f t="shared" si="10"/>
        <v>0.53333333333333333</v>
      </c>
      <c r="AA24" s="3">
        <f>4.9/T24</f>
        <v>1.2628865979381445</v>
      </c>
      <c r="AB24" s="2">
        <v>0</v>
      </c>
      <c r="AC24" s="3">
        <f t="shared" si="14"/>
        <v>0</v>
      </c>
      <c r="AD24" s="1">
        <v>14.89</v>
      </c>
      <c r="AE24" s="1">
        <v>3.88</v>
      </c>
      <c r="AF24" s="3">
        <f t="shared" si="11"/>
        <v>2.837628865979382</v>
      </c>
      <c r="AG24" s="1">
        <v>42.45</v>
      </c>
      <c r="AH24" s="1">
        <v>8.7799999999999994</v>
      </c>
      <c r="AI24" s="3">
        <f t="shared" si="12"/>
        <v>3.8348519362186795</v>
      </c>
      <c r="AJ24" s="1">
        <f t="shared" si="13"/>
        <v>4.8999999999999995</v>
      </c>
    </row>
    <row r="25" spans="1:36">
      <c r="A25">
        <v>24</v>
      </c>
      <c r="B25" t="s">
        <v>13</v>
      </c>
      <c r="C25">
        <v>2</v>
      </c>
      <c r="D25">
        <v>493</v>
      </c>
      <c r="E25">
        <v>546</v>
      </c>
      <c r="F25">
        <f t="shared" si="0"/>
        <v>53</v>
      </c>
      <c r="G25" s="3">
        <f t="shared" si="5"/>
        <v>0.10750507099391481</v>
      </c>
      <c r="H25" s="2">
        <v>2846</v>
      </c>
      <c r="I25" s="2">
        <v>4736</v>
      </c>
      <c r="J25" s="2">
        <f t="shared" si="6"/>
        <v>1890</v>
      </c>
      <c r="K25" s="3">
        <f t="shared" si="7"/>
        <v>0.66408995080815181</v>
      </c>
      <c r="L25" s="1">
        <v>10211.25</v>
      </c>
      <c r="M25" s="3">
        <v>17180.64845153506</v>
      </c>
      <c r="N25" s="3">
        <f t="shared" si="1"/>
        <v>6969.3984515350603</v>
      </c>
      <c r="O25" s="3">
        <f t="shared" si="8"/>
        <v>0.68252157684270387</v>
      </c>
      <c r="P25">
        <v>5</v>
      </c>
      <c r="Q25" s="2">
        <v>7</v>
      </c>
      <c r="R25">
        <f t="shared" si="2"/>
        <v>2</v>
      </c>
      <c r="S25" s="6">
        <v>2.7708656</v>
      </c>
      <c r="T25" s="1">
        <v>4.3600000000000003</v>
      </c>
      <c r="U25" s="1">
        <f t="shared" si="3"/>
        <v>1.5891344000000003</v>
      </c>
      <c r="V25" s="3">
        <f t="shared" si="9"/>
        <v>0.57351551082087859</v>
      </c>
      <c r="W25">
        <v>15</v>
      </c>
      <c r="X25" s="2">
        <v>26</v>
      </c>
      <c r="Y25" s="2">
        <f t="shared" si="4"/>
        <v>11</v>
      </c>
      <c r="Z25" s="3">
        <f t="shared" si="10"/>
        <v>0.73333333333333328</v>
      </c>
      <c r="AA25" s="3">
        <f>13.16/T25</f>
        <v>3.0183486238532109</v>
      </c>
      <c r="AB25" s="2">
        <v>475</v>
      </c>
      <c r="AC25" s="3">
        <f t="shared" si="14"/>
        <v>108.94495412844036</v>
      </c>
      <c r="AD25" s="1">
        <v>12.98</v>
      </c>
      <c r="AE25" s="1">
        <v>4.3600000000000003</v>
      </c>
      <c r="AF25" s="3">
        <f t="shared" si="11"/>
        <v>1.9770642201834863</v>
      </c>
      <c r="AG25" s="1">
        <v>64.91</v>
      </c>
      <c r="AH25" s="1">
        <v>17.52</v>
      </c>
      <c r="AI25" s="3">
        <f t="shared" si="12"/>
        <v>2.704908675799087</v>
      </c>
      <c r="AJ25" s="1">
        <f t="shared" si="13"/>
        <v>13.16</v>
      </c>
    </row>
    <row r="26" spans="1:36">
      <c r="A26">
        <v>25</v>
      </c>
      <c r="B26" t="s">
        <v>11</v>
      </c>
      <c r="C26">
        <v>2</v>
      </c>
      <c r="D26">
        <v>558</v>
      </c>
      <c r="E26">
        <v>738</v>
      </c>
      <c r="F26">
        <f t="shared" si="0"/>
        <v>180</v>
      </c>
      <c r="G26" s="3">
        <f t="shared" si="5"/>
        <v>0.32258064516129031</v>
      </c>
      <c r="H26" s="2">
        <v>2981</v>
      </c>
      <c r="I26" s="2">
        <v>4507</v>
      </c>
      <c r="J26" s="2">
        <f t="shared" si="6"/>
        <v>1526</v>
      </c>
      <c r="K26" s="3">
        <f t="shared" si="7"/>
        <v>0.51190875545119086</v>
      </c>
      <c r="L26" s="1">
        <v>11378.97</v>
      </c>
      <c r="M26" s="3">
        <v>16763.713011006414</v>
      </c>
      <c r="N26" s="3">
        <f t="shared" si="1"/>
        <v>5384.7430110064142</v>
      </c>
      <c r="O26" s="3">
        <f t="shared" si="8"/>
        <v>0.47321884239139522</v>
      </c>
      <c r="P26">
        <v>5</v>
      </c>
      <c r="Q26" s="2">
        <v>6</v>
      </c>
      <c r="R26">
        <f t="shared" si="2"/>
        <v>1</v>
      </c>
      <c r="S26" s="6">
        <v>2.9023016000000004</v>
      </c>
      <c r="T26" s="1">
        <v>7.08</v>
      </c>
      <c r="U26" s="1">
        <f t="shared" si="3"/>
        <v>4.1776983999999997</v>
      </c>
      <c r="V26" s="3">
        <f t="shared" si="9"/>
        <v>1.4394432336046672</v>
      </c>
      <c r="W26">
        <v>18</v>
      </c>
      <c r="X26" s="2">
        <v>27</v>
      </c>
      <c r="Y26" s="2">
        <f t="shared" si="4"/>
        <v>9</v>
      </c>
      <c r="Z26" s="3">
        <f t="shared" si="10"/>
        <v>0.5</v>
      </c>
      <c r="AA26" s="3">
        <f>7.26/T26</f>
        <v>1.0254237288135593</v>
      </c>
      <c r="AB26" s="2">
        <v>0</v>
      </c>
      <c r="AC26" s="3">
        <f t="shared" si="14"/>
        <v>0</v>
      </c>
      <c r="AD26" s="1">
        <v>22.88</v>
      </c>
      <c r="AE26" s="1">
        <v>7.08</v>
      </c>
      <c r="AF26" s="3">
        <f t="shared" si="11"/>
        <v>2.231638418079096</v>
      </c>
      <c r="AG26" s="1">
        <v>60.29</v>
      </c>
      <c r="AH26" s="1">
        <v>14.34</v>
      </c>
      <c r="AI26" s="3">
        <f t="shared" si="12"/>
        <v>3.2043235704323574</v>
      </c>
      <c r="AJ26" s="1">
        <f t="shared" si="13"/>
        <v>7.26</v>
      </c>
    </row>
    <row r="27" spans="1:36">
      <c r="A27">
        <v>26</v>
      </c>
      <c r="B27" t="s">
        <v>11</v>
      </c>
      <c r="C27">
        <v>2</v>
      </c>
      <c r="D27">
        <v>435</v>
      </c>
      <c r="E27">
        <v>541</v>
      </c>
      <c r="F27">
        <f t="shared" si="0"/>
        <v>106</v>
      </c>
      <c r="G27" s="3">
        <f t="shared" si="5"/>
        <v>0.24367816091954023</v>
      </c>
      <c r="H27" s="2">
        <v>2297</v>
      </c>
      <c r="I27" s="2">
        <v>3578</v>
      </c>
      <c r="J27" s="2">
        <f t="shared" si="6"/>
        <v>1281</v>
      </c>
      <c r="K27" s="3">
        <f t="shared" si="7"/>
        <v>0.55768393556813234</v>
      </c>
      <c r="L27" s="1">
        <v>8051.7</v>
      </c>
      <c r="M27" s="3">
        <v>13124.671814303036</v>
      </c>
      <c r="N27" s="3">
        <f t="shared" si="1"/>
        <v>5072.9718143030359</v>
      </c>
      <c r="O27" s="3">
        <f t="shared" si="8"/>
        <v>0.63004978008408608</v>
      </c>
      <c r="P27">
        <v>5</v>
      </c>
      <c r="Q27" s="2">
        <v>5</v>
      </c>
      <c r="R27">
        <f t="shared" si="2"/>
        <v>0</v>
      </c>
      <c r="S27" s="6">
        <v>2.2363591999999999</v>
      </c>
      <c r="T27" s="1">
        <v>4.38</v>
      </c>
      <c r="U27" s="1">
        <f t="shared" si="3"/>
        <v>2.1436408</v>
      </c>
      <c r="V27" s="3">
        <f t="shared" si="9"/>
        <v>0.95854047060060843</v>
      </c>
      <c r="W27">
        <v>12</v>
      </c>
      <c r="X27" s="2">
        <v>18</v>
      </c>
      <c r="Y27" s="2">
        <f t="shared" si="4"/>
        <v>6</v>
      </c>
      <c r="Z27" s="3">
        <f t="shared" si="10"/>
        <v>0.5</v>
      </c>
      <c r="AA27" s="3">
        <f>7.63/T27</f>
        <v>1.7420091324200913</v>
      </c>
      <c r="AB27" s="2">
        <v>0</v>
      </c>
      <c r="AC27" s="3">
        <f t="shared" si="14"/>
        <v>0</v>
      </c>
      <c r="AD27" s="1">
        <v>14.23</v>
      </c>
      <c r="AE27" s="1">
        <v>4.38</v>
      </c>
      <c r="AF27" s="3">
        <f t="shared" si="11"/>
        <v>2.2488584474885847</v>
      </c>
      <c r="AG27" s="1">
        <v>60.96</v>
      </c>
      <c r="AH27" s="1">
        <v>12.01</v>
      </c>
      <c r="AI27" s="3">
        <f t="shared" si="12"/>
        <v>4.0757701915070781</v>
      </c>
      <c r="AJ27" s="1">
        <f t="shared" si="13"/>
        <v>7.63</v>
      </c>
    </row>
    <row r="28" spans="1:36">
      <c r="A28">
        <v>27</v>
      </c>
      <c r="B28" t="s">
        <v>12</v>
      </c>
      <c r="C28">
        <v>2</v>
      </c>
      <c r="D28">
        <v>394</v>
      </c>
      <c r="E28">
        <v>558</v>
      </c>
      <c r="F28">
        <f t="shared" si="0"/>
        <v>164</v>
      </c>
      <c r="G28" s="3">
        <f t="shared" si="5"/>
        <v>0.41624365482233505</v>
      </c>
      <c r="H28" s="2">
        <v>1829</v>
      </c>
      <c r="I28" s="2">
        <v>3065</v>
      </c>
      <c r="J28" s="2">
        <f t="shared" si="6"/>
        <v>1236</v>
      </c>
      <c r="K28" s="3">
        <f t="shared" si="7"/>
        <v>0.67577911427009296</v>
      </c>
      <c r="L28" s="1">
        <v>5764.12</v>
      </c>
      <c r="M28" s="3">
        <v>9266.775917799032</v>
      </c>
      <c r="N28" s="3">
        <f t="shared" si="1"/>
        <v>3502.6559177990321</v>
      </c>
      <c r="O28" s="3">
        <f t="shared" si="8"/>
        <v>0.60766533621767627</v>
      </c>
      <c r="P28">
        <v>6</v>
      </c>
      <c r="Q28" s="2">
        <v>7</v>
      </c>
      <c r="R28">
        <f t="shared" si="2"/>
        <v>1</v>
      </c>
      <c r="S28" s="6">
        <v>1.7807143999999999</v>
      </c>
      <c r="T28" s="1">
        <v>4.0600000000000005</v>
      </c>
      <c r="U28" s="1">
        <f t="shared" si="3"/>
        <v>2.2792856000000006</v>
      </c>
      <c r="V28" s="3">
        <f t="shared" si="9"/>
        <v>1.2799838087455242</v>
      </c>
      <c r="W28">
        <v>18</v>
      </c>
      <c r="X28" s="2">
        <v>31</v>
      </c>
      <c r="Y28" s="2">
        <f t="shared" si="4"/>
        <v>13</v>
      </c>
      <c r="Z28" s="3">
        <f t="shared" si="10"/>
        <v>0.72222222222222221</v>
      </c>
      <c r="AA28" s="3">
        <f>1.7/T28</f>
        <v>0.41871921182266003</v>
      </c>
      <c r="AB28" s="2">
        <v>328</v>
      </c>
      <c r="AC28" s="3">
        <f t="shared" si="14"/>
        <v>80.788177339901466</v>
      </c>
      <c r="AD28" s="1">
        <v>11.89</v>
      </c>
      <c r="AE28" s="1">
        <v>4.0599999999999996</v>
      </c>
      <c r="AF28" s="3">
        <f t="shared" si="11"/>
        <v>1.928571428571429</v>
      </c>
      <c r="AG28" s="1">
        <v>20.2</v>
      </c>
      <c r="AH28" s="1">
        <v>5.76</v>
      </c>
      <c r="AI28" s="3">
        <f t="shared" si="12"/>
        <v>2.5069444444444446</v>
      </c>
      <c r="AJ28" s="1">
        <f t="shared" si="13"/>
        <v>1.7000000000000002</v>
      </c>
    </row>
    <row r="29" spans="1:36">
      <c r="A29">
        <v>28</v>
      </c>
      <c r="B29" t="s">
        <v>13</v>
      </c>
      <c r="C29">
        <v>2</v>
      </c>
      <c r="D29">
        <v>472</v>
      </c>
      <c r="E29">
        <v>504</v>
      </c>
      <c r="F29">
        <f t="shared" si="0"/>
        <v>32</v>
      </c>
      <c r="G29" s="3">
        <f t="shared" si="5"/>
        <v>6.7796610169491525E-2</v>
      </c>
      <c r="H29" s="2">
        <v>2038</v>
      </c>
      <c r="I29" s="2">
        <v>4119</v>
      </c>
      <c r="J29" s="2">
        <f t="shared" si="6"/>
        <v>2081</v>
      </c>
      <c r="K29" s="3">
        <f t="shared" si="7"/>
        <v>1.0210991167811581</v>
      </c>
      <c r="L29" s="1">
        <v>7031.57</v>
      </c>
      <c r="M29" s="3">
        <v>14164.136766320309</v>
      </c>
      <c r="N29" s="3">
        <f t="shared" si="1"/>
        <v>7132.5667663203094</v>
      </c>
      <c r="O29" s="3">
        <f t="shared" si="8"/>
        <v>1.0143633308521867</v>
      </c>
      <c r="P29">
        <v>5</v>
      </c>
      <c r="Q29" s="2">
        <v>5</v>
      </c>
      <c r="R29">
        <f t="shared" si="2"/>
        <v>0</v>
      </c>
      <c r="S29" s="6">
        <v>1.9841968000000001</v>
      </c>
      <c r="T29" s="1">
        <v>4.24</v>
      </c>
      <c r="U29" s="1">
        <f t="shared" si="3"/>
        <v>2.2558031999999999</v>
      </c>
      <c r="V29" s="3">
        <f t="shared" si="9"/>
        <v>1.1368848090068484</v>
      </c>
      <c r="W29">
        <v>16</v>
      </c>
      <c r="X29" s="2">
        <v>28</v>
      </c>
      <c r="Y29" s="2">
        <f t="shared" si="4"/>
        <v>12</v>
      </c>
      <c r="Z29" s="3">
        <f t="shared" si="10"/>
        <v>0.75</v>
      </c>
      <c r="AA29" s="3">
        <f>10.88/T29</f>
        <v>2.5660377358490565</v>
      </c>
      <c r="AB29" s="2">
        <v>792</v>
      </c>
      <c r="AC29" s="3">
        <f t="shared" si="14"/>
        <v>186.79245283018867</v>
      </c>
      <c r="AD29" s="1">
        <v>13.23</v>
      </c>
      <c r="AE29" s="1">
        <v>4.24</v>
      </c>
      <c r="AF29" s="3">
        <f t="shared" si="11"/>
        <v>2.1202830188679243</v>
      </c>
      <c r="AG29" s="1">
        <v>55.38</v>
      </c>
      <c r="AH29" s="1">
        <v>15.12</v>
      </c>
      <c r="AI29" s="3">
        <f t="shared" si="12"/>
        <v>2.662698412698413</v>
      </c>
      <c r="AJ29" s="1">
        <f t="shared" si="13"/>
        <v>10.879999999999999</v>
      </c>
    </row>
    <row r="30" spans="1:36">
      <c r="A30">
        <v>29</v>
      </c>
      <c r="B30" t="s">
        <v>13</v>
      </c>
      <c r="C30">
        <v>2</v>
      </c>
      <c r="D30">
        <v>400</v>
      </c>
      <c r="E30">
        <v>480</v>
      </c>
      <c r="F30">
        <f t="shared" si="0"/>
        <v>80</v>
      </c>
      <c r="G30" s="3">
        <f t="shared" si="5"/>
        <v>0.2</v>
      </c>
      <c r="H30" s="2">
        <v>1593</v>
      </c>
      <c r="I30" s="2">
        <v>3606</v>
      </c>
      <c r="J30" s="2">
        <f t="shared" si="6"/>
        <v>2013</v>
      </c>
      <c r="K30" s="3">
        <f t="shared" si="7"/>
        <v>1.2636534839924671</v>
      </c>
      <c r="L30" s="1">
        <v>5512.3</v>
      </c>
      <c r="M30" s="3">
        <v>12485.806858535112</v>
      </c>
      <c r="N30" s="3">
        <f t="shared" si="1"/>
        <v>6973.5068585351119</v>
      </c>
      <c r="O30" s="3">
        <f t="shared" si="8"/>
        <v>1.2650811564202078</v>
      </c>
      <c r="P30">
        <v>4</v>
      </c>
      <c r="Q30" s="2">
        <v>5</v>
      </c>
      <c r="R30">
        <f t="shared" si="2"/>
        <v>1</v>
      </c>
      <c r="S30" s="6">
        <v>1.5509447999999999</v>
      </c>
      <c r="T30" s="1">
        <v>3.1799999999999997</v>
      </c>
      <c r="U30" s="1">
        <f t="shared" si="3"/>
        <v>1.6290551999999998</v>
      </c>
      <c r="V30" s="3">
        <f t="shared" si="9"/>
        <v>1.0503631077005449</v>
      </c>
      <c r="W30">
        <v>14</v>
      </c>
      <c r="X30" s="2">
        <v>26</v>
      </c>
      <c r="Y30" s="2">
        <f t="shared" si="4"/>
        <v>12</v>
      </c>
      <c r="Z30" s="3">
        <f t="shared" si="10"/>
        <v>0.8571428571428571</v>
      </c>
      <c r="AA30" s="3">
        <f>4.37/T30</f>
        <v>1.3742138364779877</v>
      </c>
      <c r="AB30" s="2">
        <v>877</v>
      </c>
      <c r="AC30" s="3">
        <f t="shared" si="14"/>
        <v>275.7861635220126</v>
      </c>
      <c r="AD30" s="1">
        <v>9.89</v>
      </c>
      <c r="AE30" s="1">
        <v>3.18</v>
      </c>
      <c r="AF30" s="3">
        <f t="shared" si="11"/>
        <v>2.1100628930817611</v>
      </c>
      <c r="AG30" s="1">
        <v>29.89</v>
      </c>
      <c r="AH30" s="1">
        <v>7.55</v>
      </c>
      <c r="AI30" s="3">
        <f t="shared" si="12"/>
        <v>2.9589403973509936</v>
      </c>
      <c r="AJ30" s="1">
        <f t="shared" si="13"/>
        <v>4.3699999999999992</v>
      </c>
    </row>
    <row r="31" spans="1:36">
      <c r="A31">
        <v>30</v>
      </c>
      <c r="B31" t="s">
        <v>11</v>
      </c>
      <c r="C31">
        <v>2</v>
      </c>
      <c r="D31">
        <v>419</v>
      </c>
      <c r="E31">
        <v>451</v>
      </c>
      <c r="F31">
        <f t="shared" si="0"/>
        <v>32</v>
      </c>
      <c r="G31" s="3">
        <f t="shared" si="5"/>
        <v>7.6372315035799526E-2</v>
      </c>
      <c r="H31" s="2">
        <v>2332</v>
      </c>
      <c r="I31" s="2">
        <v>4524</v>
      </c>
      <c r="J31" s="2">
        <f t="shared" si="6"/>
        <v>2192</v>
      </c>
      <c r="K31" s="3">
        <f t="shared" si="7"/>
        <v>0.93996569468267577</v>
      </c>
      <c r="L31" s="1">
        <v>7624.92</v>
      </c>
      <c r="M31" s="3">
        <v>15472.47662062002</v>
      </c>
      <c r="N31" s="3">
        <f t="shared" si="1"/>
        <v>7847.5566206200201</v>
      </c>
      <c r="O31" s="3">
        <f t="shared" si="8"/>
        <v>1.0291985516726758</v>
      </c>
      <c r="P31">
        <v>6</v>
      </c>
      <c r="Q31" s="2">
        <v>8</v>
      </c>
      <c r="R31">
        <f t="shared" si="2"/>
        <v>2</v>
      </c>
      <c r="S31" s="6">
        <v>2.2704351999999997</v>
      </c>
      <c r="T31" s="1">
        <v>4.3900000000000006</v>
      </c>
      <c r="U31" s="1">
        <f t="shared" si="3"/>
        <v>2.1195648000000009</v>
      </c>
      <c r="V31" s="3">
        <f t="shared" si="9"/>
        <v>0.93355000838605795</v>
      </c>
      <c r="W31">
        <v>21</v>
      </c>
      <c r="X31" s="2">
        <v>36</v>
      </c>
      <c r="Y31" s="2">
        <f t="shared" si="4"/>
        <v>15</v>
      </c>
      <c r="Z31" s="3">
        <f t="shared" si="10"/>
        <v>0.7142857142857143</v>
      </c>
      <c r="AA31" s="3">
        <f>7.99/T31</f>
        <v>1.8200455580865602</v>
      </c>
      <c r="AB31" s="2">
        <v>0</v>
      </c>
      <c r="AC31" s="3">
        <f t="shared" si="14"/>
        <v>0</v>
      </c>
      <c r="AD31" s="1">
        <v>16.43</v>
      </c>
      <c r="AE31" s="1">
        <v>4.3899999999999997</v>
      </c>
      <c r="AF31" s="3">
        <f t="shared" si="11"/>
        <v>2.7425968109339407</v>
      </c>
      <c r="AG31" s="1">
        <v>61.88</v>
      </c>
      <c r="AH31" s="1">
        <v>12.38</v>
      </c>
      <c r="AI31" s="3">
        <f t="shared" si="12"/>
        <v>3.9983844911147011</v>
      </c>
      <c r="AJ31" s="1">
        <f t="shared" si="13"/>
        <v>7.9900000000000011</v>
      </c>
    </row>
    <row r="32" spans="1:36">
      <c r="A32">
        <v>31</v>
      </c>
      <c r="B32" t="s">
        <v>11</v>
      </c>
      <c r="C32">
        <v>3</v>
      </c>
      <c r="D32">
        <v>383</v>
      </c>
      <c r="E32">
        <v>538</v>
      </c>
      <c r="F32">
        <f t="shared" si="0"/>
        <v>155</v>
      </c>
      <c r="G32" s="3">
        <f t="shared" si="5"/>
        <v>0.40469973890339428</v>
      </c>
      <c r="H32" s="2">
        <v>2827</v>
      </c>
      <c r="I32" s="2">
        <v>5592</v>
      </c>
      <c r="J32" s="2">
        <f t="shared" si="6"/>
        <v>2765</v>
      </c>
      <c r="K32" s="3">
        <f t="shared" si="7"/>
        <v>0.97806862398302086</v>
      </c>
      <c r="L32" s="1">
        <v>8906.83</v>
      </c>
      <c r="M32" s="3">
        <v>18496.603405314574</v>
      </c>
      <c r="N32" s="3">
        <f t="shared" si="1"/>
        <v>9589.7734053145741</v>
      </c>
      <c r="O32" s="3">
        <f t="shared" si="8"/>
        <v>1.0766763714267111</v>
      </c>
      <c r="P32">
        <v>9</v>
      </c>
      <c r="Q32" s="2">
        <v>12</v>
      </c>
      <c r="R32">
        <f t="shared" si="2"/>
        <v>3</v>
      </c>
      <c r="S32" s="6">
        <v>2.7523671999999997</v>
      </c>
      <c r="T32" s="1">
        <v>5.5</v>
      </c>
      <c r="U32" s="1">
        <f t="shared" si="3"/>
        <v>2.7476328000000003</v>
      </c>
      <c r="V32" s="3">
        <f t="shared" si="9"/>
        <v>0.99827988067871198</v>
      </c>
      <c r="W32">
        <v>32</v>
      </c>
      <c r="X32" s="2">
        <v>52</v>
      </c>
      <c r="Y32" s="2">
        <f t="shared" si="4"/>
        <v>20</v>
      </c>
      <c r="Z32" s="3">
        <f t="shared" si="10"/>
        <v>0.625</v>
      </c>
      <c r="AA32" s="3">
        <f>9.25/T32</f>
        <v>1.6818181818181819</v>
      </c>
      <c r="AB32" s="2">
        <v>0</v>
      </c>
      <c r="AC32" s="3">
        <f t="shared" si="14"/>
        <v>0</v>
      </c>
      <c r="AD32" s="1">
        <v>22.42</v>
      </c>
      <c r="AE32" s="1">
        <v>5.5</v>
      </c>
      <c r="AF32" s="3">
        <f t="shared" si="11"/>
        <v>3.0763636363636366</v>
      </c>
      <c r="AG32" s="1">
        <v>70.17</v>
      </c>
      <c r="AH32" s="1">
        <v>14.75</v>
      </c>
      <c r="AI32" s="3">
        <f t="shared" si="12"/>
        <v>3.7572881355932206</v>
      </c>
      <c r="AJ32" s="1">
        <f t="shared" si="13"/>
        <v>9.25</v>
      </c>
    </row>
    <row r="33" spans="1:36">
      <c r="A33">
        <v>32</v>
      </c>
      <c r="B33" t="s">
        <v>12</v>
      </c>
      <c r="C33">
        <v>3</v>
      </c>
      <c r="D33">
        <v>516</v>
      </c>
      <c r="E33">
        <v>540</v>
      </c>
      <c r="F33">
        <f t="shared" si="0"/>
        <v>24</v>
      </c>
      <c r="G33" s="3">
        <f t="shared" si="5"/>
        <v>4.6511627906976744E-2</v>
      </c>
      <c r="H33" s="2">
        <v>3593</v>
      </c>
      <c r="I33" s="2">
        <v>5626</v>
      </c>
      <c r="J33" s="2">
        <f t="shared" si="6"/>
        <v>2033</v>
      </c>
      <c r="K33" s="3">
        <f t="shared" si="7"/>
        <v>0.56582243250765374</v>
      </c>
      <c r="L33" s="1">
        <v>13697.4</v>
      </c>
      <c r="M33" s="3">
        <v>20827.793704933669</v>
      </c>
      <c r="N33" s="3">
        <f t="shared" si="1"/>
        <v>7130.3937049336691</v>
      </c>
      <c r="O33" s="3">
        <f t="shared" si="8"/>
        <v>0.52056548724091212</v>
      </c>
      <c r="P33">
        <v>7</v>
      </c>
      <c r="Q33" s="2">
        <v>9</v>
      </c>
      <c r="R33">
        <f t="shared" si="2"/>
        <v>2</v>
      </c>
      <c r="S33" s="6">
        <v>3.4981447999999999</v>
      </c>
      <c r="T33" s="1">
        <v>4.17</v>
      </c>
      <c r="U33" s="1">
        <f t="shared" si="3"/>
        <v>0.67185519999999999</v>
      </c>
      <c r="V33" s="3">
        <f t="shared" si="9"/>
        <v>0.19206043157504515</v>
      </c>
      <c r="W33">
        <v>22</v>
      </c>
      <c r="X33" s="2">
        <v>42</v>
      </c>
      <c r="Y33" s="2">
        <f t="shared" si="4"/>
        <v>20</v>
      </c>
      <c r="Z33" s="3">
        <f t="shared" si="10"/>
        <v>0.90909090909090906</v>
      </c>
      <c r="AA33" s="3">
        <f>5.53/T33</f>
        <v>1.326139088729017</v>
      </c>
      <c r="AB33" s="2">
        <v>846</v>
      </c>
      <c r="AC33" s="3">
        <f t="shared" si="14"/>
        <v>202.87769784172662</v>
      </c>
      <c r="AD33" s="1">
        <v>12.69</v>
      </c>
      <c r="AE33" s="1">
        <v>4.17</v>
      </c>
      <c r="AF33" s="3">
        <f t="shared" si="11"/>
        <v>2.043165467625899</v>
      </c>
      <c r="AG33" s="1">
        <v>47.88</v>
      </c>
      <c r="AH33" s="1">
        <v>9.6999999999999993</v>
      </c>
      <c r="AI33" s="3">
        <f t="shared" si="12"/>
        <v>3.9360824742268052</v>
      </c>
      <c r="AJ33" s="1">
        <f t="shared" si="13"/>
        <v>5.5299999999999994</v>
      </c>
    </row>
    <row r="34" spans="1:36">
      <c r="A34">
        <v>33</v>
      </c>
      <c r="B34" t="s">
        <v>12</v>
      </c>
      <c r="C34">
        <v>3</v>
      </c>
      <c r="D34">
        <v>534</v>
      </c>
      <c r="E34">
        <v>542</v>
      </c>
      <c r="F34">
        <f t="shared" si="0"/>
        <v>8</v>
      </c>
      <c r="G34" s="3">
        <f t="shared" si="5"/>
        <v>1.4981273408239701E-2</v>
      </c>
      <c r="H34" s="2">
        <v>3267</v>
      </c>
      <c r="I34" s="2">
        <v>4941</v>
      </c>
      <c r="J34" s="2">
        <f t="shared" si="6"/>
        <v>1674</v>
      </c>
      <c r="K34" s="3">
        <f t="shared" si="7"/>
        <v>0.51239669421487599</v>
      </c>
      <c r="L34" s="1">
        <v>11515.53</v>
      </c>
      <c r="M34" s="3">
        <v>16244.183268441888</v>
      </c>
      <c r="N34" s="3">
        <f t="shared" si="1"/>
        <v>4728.6532684418871</v>
      </c>
      <c r="O34" s="3">
        <f t="shared" si="8"/>
        <v>0.41063270804226004</v>
      </c>
      <c r="P34">
        <v>5</v>
      </c>
      <c r="Q34" s="2">
        <v>5</v>
      </c>
      <c r="R34">
        <f t="shared" si="2"/>
        <v>0</v>
      </c>
      <c r="S34" s="6">
        <v>3.1807512</v>
      </c>
      <c r="T34" s="1">
        <v>5.0599999999999996</v>
      </c>
      <c r="U34" s="1">
        <f t="shared" si="3"/>
        <v>1.8792487999999996</v>
      </c>
      <c r="V34" s="3">
        <f t="shared" si="9"/>
        <v>0.59081917504267534</v>
      </c>
      <c r="W34">
        <v>17</v>
      </c>
      <c r="X34" s="2">
        <v>27</v>
      </c>
      <c r="Y34" s="2">
        <f t="shared" si="4"/>
        <v>10</v>
      </c>
      <c r="Z34" s="3">
        <f t="shared" si="10"/>
        <v>0.58823529411764708</v>
      </c>
      <c r="AA34" s="3">
        <f>8.32/T34</f>
        <v>1.6442687747035576</v>
      </c>
      <c r="AB34" s="2">
        <v>630</v>
      </c>
      <c r="AC34" s="3">
        <f t="shared" si="14"/>
        <v>124.50592885375495</v>
      </c>
      <c r="AD34" s="1">
        <v>15.71</v>
      </c>
      <c r="AE34" s="1">
        <v>5.0599999999999996</v>
      </c>
      <c r="AF34" s="3">
        <f t="shared" si="11"/>
        <v>2.1047430830039531</v>
      </c>
      <c r="AG34" s="1">
        <v>69.27</v>
      </c>
      <c r="AH34" s="1">
        <v>13.38</v>
      </c>
      <c r="AI34" s="3">
        <f t="shared" si="12"/>
        <v>4.1771300448430484</v>
      </c>
      <c r="AJ34" s="1">
        <f t="shared" si="13"/>
        <v>8.32</v>
      </c>
    </row>
    <row r="35" spans="1:36">
      <c r="A35">
        <v>34</v>
      </c>
      <c r="B35" t="s">
        <v>12</v>
      </c>
      <c r="C35">
        <v>3</v>
      </c>
      <c r="D35">
        <v>346</v>
      </c>
      <c r="E35">
        <v>418</v>
      </c>
      <c r="F35">
        <f t="shared" si="0"/>
        <v>72</v>
      </c>
      <c r="G35" s="3">
        <f t="shared" si="5"/>
        <v>0.20809248554913296</v>
      </c>
      <c r="H35" s="2">
        <v>1518</v>
      </c>
      <c r="I35" s="2">
        <v>3510</v>
      </c>
      <c r="J35" s="2">
        <f t="shared" si="6"/>
        <v>1992</v>
      </c>
      <c r="K35" s="3">
        <f t="shared" si="7"/>
        <v>1.3122529644268774</v>
      </c>
      <c r="L35" s="1">
        <v>4741.4399999999996</v>
      </c>
      <c r="M35" s="3">
        <v>11464.834282064445</v>
      </c>
      <c r="N35" s="3">
        <f t="shared" si="1"/>
        <v>6723.3942820644452</v>
      </c>
      <c r="O35" s="3">
        <f t="shared" si="8"/>
        <v>1.4180068253662275</v>
      </c>
      <c r="P35">
        <v>3</v>
      </c>
      <c r="Q35" s="2">
        <v>3</v>
      </c>
      <c r="R35">
        <f t="shared" si="2"/>
        <v>0</v>
      </c>
      <c r="S35" s="6">
        <v>1.4779248</v>
      </c>
      <c r="T35" s="1">
        <v>3.17</v>
      </c>
      <c r="U35" s="1">
        <f t="shared" si="3"/>
        <v>1.6920751999999999</v>
      </c>
      <c r="V35" s="3">
        <f t="shared" si="9"/>
        <v>1.1448993886563104</v>
      </c>
      <c r="W35">
        <v>11</v>
      </c>
      <c r="X35" s="2">
        <v>21</v>
      </c>
      <c r="Y35" s="2">
        <f t="shared" si="4"/>
        <v>10</v>
      </c>
      <c r="Z35" s="3">
        <f t="shared" si="10"/>
        <v>0.90909090909090906</v>
      </c>
      <c r="AA35" s="3">
        <f>0.95/T35</f>
        <v>0.29968454258675076</v>
      </c>
      <c r="AB35" s="2">
        <v>594</v>
      </c>
      <c r="AC35" s="3">
        <f t="shared" si="14"/>
        <v>187.38170347003154</v>
      </c>
      <c r="AD35" s="1">
        <v>10.119999999999999</v>
      </c>
      <c r="AE35" s="1">
        <v>3.17</v>
      </c>
      <c r="AF35" s="3">
        <f t="shared" si="11"/>
        <v>2.1924290220820186</v>
      </c>
      <c r="AG35" s="1">
        <v>15.93</v>
      </c>
      <c r="AH35" s="1">
        <v>4.12</v>
      </c>
      <c r="AI35" s="3">
        <f t="shared" si="12"/>
        <v>2.8665048543689315</v>
      </c>
      <c r="AJ35" s="1">
        <f t="shared" si="13"/>
        <v>0.95000000000000018</v>
      </c>
    </row>
    <row r="36" spans="1:36">
      <c r="A36">
        <v>35</v>
      </c>
      <c r="B36" t="s">
        <v>13</v>
      </c>
      <c r="C36">
        <v>3</v>
      </c>
      <c r="D36">
        <v>433</v>
      </c>
      <c r="E36">
        <v>506</v>
      </c>
      <c r="F36">
        <f t="shared" si="0"/>
        <v>73</v>
      </c>
      <c r="G36" s="3">
        <f t="shared" si="5"/>
        <v>0.16859122401847576</v>
      </c>
      <c r="H36" s="2">
        <v>2544</v>
      </c>
      <c r="I36" s="2">
        <v>4234</v>
      </c>
      <c r="J36" s="2">
        <f t="shared" si="6"/>
        <v>1690</v>
      </c>
      <c r="K36" s="3">
        <f t="shared" si="7"/>
        <v>0.66430817610062898</v>
      </c>
      <c r="L36" s="1">
        <v>8388.1200000000008</v>
      </c>
      <c r="M36" s="3">
        <v>13479.203649315941</v>
      </c>
      <c r="N36" s="3">
        <f t="shared" si="1"/>
        <v>5091.0836493159404</v>
      </c>
      <c r="O36" s="3">
        <f t="shared" si="8"/>
        <v>0.6069397730738163</v>
      </c>
      <c r="P36">
        <v>6</v>
      </c>
      <c r="Q36" s="2">
        <v>8</v>
      </c>
      <c r="R36">
        <f t="shared" si="2"/>
        <v>2</v>
      </c>
      <c r="S36" s="6">
        <v>2.4768384000000001</v>
      </c>
      <c r="T36" s="1">
        <v>4.03</v>
      </c>
      <c r="U36" s="1">
        <f t="shared" si="3"/>
        <v>1.5531616000000001</v>
      </c>
      <c r="V36" s="3">
        <f t="shared" si="9"/>
        <v>0.62707425724665766</v>
      </c>
      <c r="W36">
        <v>19</v>
      </c>
      <c r="X36" s="2">
        <v>32</v>
      </c>
      <c r="Y36" s="2">
        <f t="shared" si="4"/>
        <v>13</v>
      </c>
      <c r="Z36" s="3">
        <f t="shared" si="10"/>
        <v>0.68421052631578949</v>
      </c>
      <c r="AA36" s="3">
        <f>6.79/T36</f>
        <v>1.6848635235732008</v>
      </c>
      <c r="AB36" s="2">
        <v>686</v>
      </c>
      <c r="AC36" s="3">
        <f t="shared" si="14"/>
        <v>170.22332506203472</v>
      </c>
      <c r="AD36" s="1">
        <v>13.65</v>
      </c>
      <c r="AE36" s="1">
        <v>4.03</v>
      </c>
      <c r="AF36" s="3">
        <f t="shared" si="11"/>
        <v>2.3870967741935485</v>
      </c>
      <c r="AG36" s="1">
        <v>46.31</v>
      </c>
      <c r="AH36" s="1">
        <v>10.82</v>
      </c>
      <c r="AI36" s="3">
        <f t="shared" si="12"/>
        <v>3.2800369685767099</v>
      </c>
      <c r="AJ36" s="1">
        <f t="shared" si="13"/>
        <v>6.79</v>
      </c>
    </row>
    <row r="37" spans="1:36">
      <c r="A37">
        <v>36</v>
      </c>
      <c r="B37" t="s">
        <v>12</v>
      </c>
      <c r="C37">
        <v>3</v>
      </c>
      <c r="D37">
        <v>515</v>
      </c>
      <c r="E37">
        <v>534</v>
      </c>
      <c r="F37">
        <f t="shared" si="0"/>
        <v>19</v>
      </c>
      <c r="G37" s="3">
        <f t="shared" si="5"/>
        <v>3.6893203883495145E-2</v>
      </c>
      <c r="H37" s="2">
        <v>3301</v>
      </c>
      <c r="I37" s="2">
        <v>5503</v>
      </c>
      <c r="J37" s="2">
        <f t="shared" si="6"/>
        <v>2202</v>
      </c>
      <c r="K37" s="3">
        <f t="shared" si="7"/>
        <v>0.66707058467131175</v>
      </c>
      <c r="L37" s="1">
        <v>12382.01</v>
      </c>
      <c r="M37" s="3">
        <v>20799.454404479242</v>
      </c>
      <c r="N37" s="3">
        <f t="shared" si="1"/>
        <v>8417.4444044792417</v>
      </c>
      <c r="O37" s="3">
        <f t="shared" si="8"/>
        <v>0.67981243792237622</v>
      </c>
      <c r="P37">
        <v>8</v>
      </c>
      <c r="Q37" s="2">
        <v>9</v>
      </c>
      <c r="R37">
        <f t="shared" si="2"/>
        <v>1</v>
      </c>
      <c r="S37" s="6">
        <v>3.2138536000000002</v>
      </c>
      <c r="T37" s="1">
        <v>5.05</v>
      </c>
      <c r="U37" s="1">
        <f t="shared" si="3"/>
        <v>1.8361463999999996</v>
      </c>
      <c r="V37" s="3">
        <f t="shared" si="9"/>
        <v>0.57132235270455367</v>
      </c>
      <c r="W37">
        <v>24</v>
      </c>
      <c r="X37" s="2">
        <v>35</v>
      </c>
      <c r="Y37" s="2">
        <f t="shared" si="4"/>
        <v>11</v>
      </c>
      <c r="Z37" s="3">
        <f t="shared" si="10"/>
        <v>0.45833333333333331</v>
      </c>
      <c r="AA37" s="3">
        <f>9.6/T37</f>
        <v>1.9009900990099009</v>
      </c>
      <c r="AB37" s="2">
        <v>707</v>
      </c>
      <c r="AC37" s="3">
        <f t="shared" si="14"/>
        <v>140</v>
      </c>
      <c r="AD37" s="1">
        <v>20.73</v>
      </c>
      <c r="AE37" s="1">
        <v>5.05</v>
      </c>
      <c r="AF37" s="3">
        <f t="shared" si="11"/>
        <v>3.104950495049505</v>
      </c>
      <c r="AG37" s="1">
        <v>73.31</v>
      </c>
      <c r="AH37" s="1">
        <v>14.65</v>
      </c>
      <c r="AI37" s="3">
        <f t="shared" si="12"/>
        <v>4.0040955631399315</v>
      </c>
      <c r="AJ37" s="1">
        <f t="shared" si="13"/>
        <v>9.6000000000000014</v>
      </c>
    </row>
    <row r="38" spans="1:36">
      <c r="A38">
        <v>37</v>
      </c>
      <c r="B38" t="s">
        <v>13</v>
      </c>
      <c r="C38">
        <v>3</v>
      </c>
      <c r="D38">
        <v>474</v>
      </c>
      <c r="E38">
        <v>572</v>
      </c>
      <c r="F38">
        <f t="shared" si="0"/>
        <v>98</v>
      </c>
      <c r="G38" s="3">
        <f t="shared" si="5"/>
        <v>0.20675105485232068</v>
      </c>
      <c r="H38" s="2">
        <v>2887</v>
      </c>
      <c r="I38" s="2">
        <v>3547</v>
      </c>
      <c r="J38" s="2">
        <f t="shared" si="6"/>
        <v>660</v>
      </c>
      <c r="K38" s="3">
        <f t="shared" si="7"/>
        <v>0.22861101489435401</v>
      </c>
      <c r="L38" s="1">
        <v>10661.63</v>
      </c>
      <c r="M38" s="3">
        <v>12395.837731889502</v>
      </c>
      <c r="N38" s="3">
        <f t="shared" si="1"/>
        <v>1734.2077318895026</v>
      </c>
      <c r="O38" s="3">
        <f t="shared" si="8"/>
        <v>0.1626587803074673</v>
      </c>
      <c r="P38">
        <v>5</v>
      </c>
      <c r="Q38" s="2">
        <v>6</v>
      </c>
      <c r="R38">
        <f t="shared" si="2"/>
        <v>1</v>
      </c>
      <c r="S38" s="6">
        <v>2.8107832000000004</v>
      </c>
      <c r="T38" s="1">
        <v>5.5</v>
      </c>
      <c r="U38" s="1">
        <f t="shared" si="3"/>
        <v>2.6892167999999996</v>
      </c>
      <c r="V38" s="3">
        <f t="shared" si="9"/>
        <v>0.95674999053644527</v>
      </c>
      <c r="W38">
        <v>16</v>
      </c>
      <c r="X38" s="2">
        <v>26</v>
      </c>
      <c r="Y38" s="2">
        <f t="shared" si="4"/>
        <v>10</v>
      </c>
      <c r="Z38" s="3">
        <f t="shared" si="10"/>
        <v>0.625</v>
      </c>
      <c r="AA38" s="3">
        <f>6.11/T38</f>
        <v>1.1109090909090911</v>
      </c>
      <c r="AB38" s="2">
        <v>721</v>
      </c>
      <c r="AC38" s="3">
        <f t="shared" si="14"/>
        <v>131.09090909090909</v>
      </c>
      <c r="AD38" s="1">
        <v>16.48</v>
      </c>
      <c r="AE38" s="1">
        <v>5.5</v>
      </c>
      <c r="AF38" s="3">
        <f t="shared" si="11"/>
        <v>1.9963636363636363</v>
      </c>
      <c r="AG38" s="1">
        <v>51.25</v>
      </c>
      <c r="AH38" s="1">
        <v>11.61</v>
      </c>
      <c r="AI38" s="3">
        <f t="shared" si="12"/>
        <v>3.4142980189491818</v>
      </c>
      <c r="AJ38" s="1">
        <f t="shared" si="13"/>
        <v>6.1099999999999994</v>
      </c>
    </row>
    <row r="39" spans="1:36">
      <c r="A39">
        <v>38</v>
      </c>
      <c r="B39" t="s">
        <v>11</v>
      </c>
      <c r="C39">
        <v>3</v>
      </c>
      <c r="D39">
        <v>542</v>
      </c>
      <c r="E39">
        <v>715</v>
      </c>
      <c r="F39">
        <f t="shared" si="0"/>
        <v>173</v>
      </c>
      <c r="G39" s="3">
        <f t="shared" si="5"/>
        <v>0.31918819188191883</v>
      </c>
      <c r="H39" s="2">
        <v>2570</v>
      </c>
      <c r="I39" s="2">
        <v>3679</v>
      </c>
      <c r="J39" s="2">
        <f t="shared" si="6"/>
        <v>1109</v>
      </c>
      <c r="K39" s="3">
        <f t="shared" si="7"/>
        <v>0.43151750972762648</v>
      </c>
      <c r="L39" s="1">
        <v>8847.11</v>
      </c>
      <c r="M39" s="3">
        <v>12351.031442261448</v>
      </c>
      <c r="N39" s="3">
        <f t="shared" si="1"/>
        <v>3503.9214422614477</v>
      </c>
      <c r="O39" s="3">
        <f t="shared" si="8"/>
        <v>0.39605265925951499</v>
      </c>
      <c r="P39">
        <v>4</v>
      </c>
      <c r="Q39" s="2">
        <v>5</v>
      </c>
      <c r="R39">
        <f t="shared" si="2"/>
        <v>1</v>
      </c>
      <c r="S39" s="6">
        <v>2.5021519999999997</v>
      </c>
      <c r="T39" s="1">
        <v>4.97</v>
      </c>
      <c r="U39" s="1">
        <f t="shared" si="3"/>
        <v>2.467848</v>
      </c>
      <c r="V39" s="3">
        <f t="shared" si="9"/>
        <v>0.98629020139463963</v>
      </c>
      <c r="W39">
        <v>14</v>
      </c>
      <c r="X39" s="2">
        <v>25</v>
      </c>
      <c r="Y39" s="2">
        <f t="shared" si="4"/>
        <v>11</v>
      </c>
      <c r="Z39" s="3">
        <f t="shared" si="10"/>
        <v>0.7857142857142857</v>
      </c>
      <c r="AA39" s="3">
        <f>7.73/T39</f>
        <v>1.5553319919517103</v>
      </c>
      <c r="AB39" s="2">
        <v>0</v>
      </c>
      <c r="AC39" s="3">
        <f t="shared" si="14"/>
        <v>0</v>
      </c>
      <c r="AD39" s="1">
        <v>16.28</v>
      </c>
      <c r="AE39" s="1">
        <v>4.97</v>
      </c>
      <c r="AF39" s="3">
        <f t="shared" si="11"/>
        <v>2.2756539235412481</v>
      </c>
      <c r="AG39" s="1">
        <v>61.49</v>
      </c>
      <c r="AH39" s="1">
        <v>12.7</v>
      </c>
      <c r="AI39" s="3">
        <f t="shared" si="12"/>
        <v>3.8417322834645677</v>
      </c>
      <c r="AJ39" s="1">
        <f t="shared" si="13"/>
        <v>7.7299999999999995</v>
      </c>
    </row>
    <row r="40" spans="1:36">
      <c r="A40">
        <v>39</v>
      </c>
      <c r="B40" t="s">
        <v>11</v>
      </c>
      <c r="C40">
        <v>3</v>
      </c>
      <c r="D40">
        <v>556</v>
      </c>
      <c r="E40">
        <v>737</v>
      </c>
      <c r="F40">
        <f t="shared" si="0"/>
        <v>181</v>
      </c>
      <c r="G40" s="3">
        <f t="shared" si="5"/>
        <v>0.32553956834532372</v>
      </c>
      <c r="H40" s="2">
        <v>2543</v>
      </c>
      <c r="I40" s="2">
        <v>6181</v>
      </c>
      <c r="J40" s="2">
        <f t="shared" si="6"/>
        <v>3638</v>
      </c>
      <c r="K40" s="3">
        <f t="shared" si="7"/>
        <v>1.4305937868659064</v>
      </c>
      <c r="L40" s="1">
        <v>9169.77</v>
      </c>
      <c r="M40" s="3">
        <v>42908.323863105856</v>
      </c>
      <c r="N40" s="3">
        <f t="shared" si="1"/>
        <v>33738.553863105859</v>
      </c>
      <c r="O40" s="3">
        <f t="shared" si="8"/>
        <v>3.6793238939587205</v>
      </c>
      <c r="P40">
        <v>5</v>
      </c>
      <c r="Q40" s="2">
        <v>8</v>
      </c>
      <c r="R40">
        <f t="shared" si="2"/>
        <v>3</v>
      </c>
      <c r="S40" s="6">
        <v>2.4758648000000001</v>
      </c>
      <c r="T40" s="1">
        <v>5.0199999999999996</v>
      </c>
      <c r="U40" s="1">
        <f t="shared" si="3"/>
        <v>2.5441351999999995</v>
      </c>
      <c r="V40" s="3">
        <f t="shared" si="9"/>
        <v>1.0275743651268838</v>
      </c>
      <c r="W40">
        <v>16</v>
      </c>
      <c r="X40" s="2">
        <v>35</v>
      </c>
      <c r="Y40" s="2">
        <f t="shared" si="4"/>
        <v>19</v>
      </c>
      <c r="Z40" s="3">
        <f t="shared" si="10"/>
        <v>1.1875</v>
      </c>
      <c r="AA40" s="3">
        <f>6.97/T40</f>
        <v>1.3884462151394423</v>
      </c>
      <c r="AB40" s="2">
        <v>0</v>
      </c>
      <c r="AC40" s="3">
        <f t="shared" si="14"/>
        <v>0</v>
      </c>
      <c r="AD40" s="1">
        <v>17.940000000000001</v>
      </c>
      <c r="AE40" s="1">
        <v>5.0199999999999996</v>
      </c>
      <c r="AF40" s="3">
        <f t="shared" si="11"/>
        <v>2.5737051792828689</v>
      </c>
      <c r="AG40" s="1">
        <v>54</v>
      </c>
      <c r="AH40" s="1">
        <v>11.99</v>
      </c>
      <c r="AI40" s="3">
        <f t="shared" si="12"/>
        <v>3.5037531276063385</v>
      </c>
      <c r="AJ40" s="1">
        <f t="shared" si="13"/>
        <v>6.9700000000000006</v>
      </c>
    </row>
    <row r="41" spans="1:36">
      <c r="A41">
        <v>40</v>
      </c>
      <c r="B41" t="s">
        <v>13</v>
      </c>
      <c r="C41">
        <v>3</v>
      </c>
      <c r="D41">
        <v>448</v>
      </c>
      <c r="E41">
        <v>528</v>
      </c>
      <c r="F41">
        <f t="shared" si="0"/>
        <v>80</v>
      </c>
      <c r="G41" s="3">
        <f t="shared" si="5"/>
        <v>0.17857142857142858</v>
      </c>
      <c r="H41" s="2">
        <v>3047</v>
      </c>
      <c r="I41" s="2">
        <v>5717</v>
      </c>
      <c r="J41" s="2">
        <f t="shared" si="6"/>
        <v>2670</v>
      </c>
      <c r="K41" s="3">
        <f t="shared" si="7"/>
        <v>0.87627174269773545</v>
      </c>
      <c r="L41" s="1">
        <v>9539.76</v>
      </c>
      <c r="M41" s="3">
        <v>18583.531295915673</v>
      </c>
      <c r="N41" s="3">
        <f t="shared" si="1"/>
        <v>9043.7712959156725</v>
      </c>
      <c r="O41" s="3">
        <f t="shared" si="8"/>
        <v>0.9480082618342256</v>
      </c>
      <c r="P41">
        <v>10</v>
      </c>
      <c r="Q41" s="2">
        <v>15</v>
      </c>
      <c r="R41">
        <f t="shared" si="2"/>
        <v>5</v>
      </c>
      <c r="S41" s="6">
        <v>2.9665591999999998</v>
      </c>
      <c r="T41" s="1">
        <v>4.92</v>
      </c>
      <c r="U41" s="1">
        <f t="shared" si="3"/>
        <v>1.9534408000000001</v>
      </c>
      <c r="V41" s="3">
        <f t="shared" si="9"/>
        <v>0.6584870445194555</v>
      </c>
      <c r="W41">
        <v>29</v>
      </c>
      <c r="X41" s="2">
        <v>57</v>
      </c>
      <c r="Y41" s="2">
        <f t="shared" si="4"/>
        <v>28</v>
      </c>
      <c r="Z41" s="3">
        <f t="shared" si="10"/>
        <v>0.96551724137931039</v>
      </c>
      <c r="AA41" s="3">
        <f>9.79/T41</f>
        <v>1.9898373983739837</v>
      </c>
      <c r="AB41" s="2">
        <v>606</v>
      </c>
      <c r="AC41" s="3">
        <f t="shared" si="14"/>
        <v>123.17073170731707</v>
      </c>
      <c r="AD41" s="1">
        <v>14.44</v>
      </c>
      <c r="AE41" s="1">
        <v>4.92</v>
      </c>
      <c r="AF41" s="3">
        <f t="shared" si="11"/>
        <v>1.9349593495934958</v>
      </c>
      <c r="AG41" s="1">
        <v>61.66</v>
      </c>
      <c r="AH41" s="1">
        <v>14.71</v>
      </c>
      <c r="AI41" s="3">
        <f t="shared" si="12"/>
        <v>3.1917063222297752</v>
      </c>
      <c r="AJ41" s="1">
        <f t="shared" si="13"/>
        <v>9.7900000000000009</v>
      </c>
    </row>
    <row r="42" spans="1:36">
      <c r="A42">
        <v>41</v>
      </c>
      <c r="B42" t="s">
        <v>11</v>
      </c>
      <c r="C42">
        <v>3</v>
      </c>
      <c r="D42">
        <v>561</v>
      </c>
      <c r="E42">
        <v>620</v>
      </c>
      <c r="F42">
        <f t="shared" si="0"/>
        <v>59</v>
      </c>
      <c r="G42" s="3">
        <f t="shared" si="5"/>
        <v>0.10516934046345811</v>
      </c>
      <c r="H42" s="2">
        <v>3305</v>
      </c>
      <c r="I42" s="2">
        <v>5699</v>
      </c>
      <c r="J42" s="2">
        <f t="shared" si="6"/>
        <v>2394</v>
      </c>
      <c r="K42" s="3">
        <f t="shared" si="7"/>
        <v>0.72435703479576397</v>
      </c>
      <c r="L42" s="1">
        <v>12762.27</v>
      </c>
      <c r="M42" s="3">
        <v>21510.436126599801</v>
      </c>
      <c r="N42" s="3">
        <f t="shared" si="1"/>
        <v>8748.1661265998009</v>
      </c>
      <c r="O42" s="3">
        <f t="shared" si="8"/>
        <v>0.68547101155200452</v>
      </c>
      <c r="P42">
        <v>5</v>
      </c>
      <c r="Q42" s="2">
        <v>7</v>
      </c>
      <c r="R42">
        <f t="shared" si="2"/>
        <v>2</v>
      </c>
      <c r="S42" s="6">
        <v>3.2177479999999998</v>
      </c>
      <c r="T42" s="1">
        <v>5.54</v>
      </c>
      <c r="U42" s="1">
        <f t="shared" si="3"/>
        <v>2.3222520000000002</v>
      </c>
      <c r="V42" s="3">
        <f t="shared" si="9"/>
        <v>0.72170101574144407</v>
      </c>
      <c r="W42">
        <v>18</v>
      </c>
      <c r="X42" s="2">
        <v>34</v>
      </c>
      <c r="Y42" s="2">
        <f t="shared" si="4"/>
        <v>16</v>
      </c>
      <c r="Z42" s="3">
        <f t="shared" si="10"/>
        <v>0.88888888888888884</v>
      </c>
      <c r="AA42" s="3">
        <f>9.86/T42</f>
        <v>1.779783393501805</v>
      </c>
      <c r="AB42" s="2">
        <v>0</v>
      </c>
      <c r="AC42" s="3">
        <f t="shared" si="14"/>
        <v>0</v>
      </c>
      <c r="AD42" s="1">
        <v>20.02</v>
      </c>
      <c r="AE42" s="1">
        <v>5.54</v>
      </c>
      <c r="AF42" s="3">
        <f t="shared" si="11"/>
        <v>2.6137184115523464</v>
      </c>
      <c r="AG42" s="1">
        <v>81.849999999999994</v>
      </c>
      <c r="AH42" s="1">
        <v>15.4</v>
      </c>
      <c r="AI42" s="3">
        <f t="shared" si="12"/>
        <v>4.3149350649350637</v>
      </c>
      <c r="AJ42" s="1">
        <f t="shared" si="13"/>
        <v>9.86</v>
      </c>
    </row>
    <row r="43" spans="1:36">
      <c r="A43">
        <v>42</v>
      </c>
      <c r="B43" t="s">
        <v>12</v>
      </c>
      <c r="C43">
        <v>3</v>
      </c>
      <c r="D43">
        <v>431</v>
      </c>
      <c r="E43">
        <v>635</v>
      </c>
      <c r="F43">
        <f t="shared" si="0"/>
        <v>204</v>
      </c>
      <c r="G43" s="3">
        <f t="shared" si="5"/>
        <v>0.47331786542923432</v>
      </c>
      <c r="H43" s="2">
        <v>2792</v>
      </c>
      <c r="I43" s="2">
        <v>3865</v>
      </c>
      <c r="J43" s="2">
        <f t="shared" si="6"/>
        <v>1073</v>
      </c>
      <c r="K43" s="3">
        <f t="shared" si="7"/>
        <v>0.38431232091690543</v>
      </c>
      <c r="L43" s="1">
        <v>8551.7999999999993</v>
      </c>
      <c r="M43" s="3">
        <v>11634.225713500622</v>
      </c>
      <c r="N43" s="3">
        <f t="shared" si="1"/>
        <v>3082.4257135006228</v>
      </c>
      <c r="O43" s="3">
        <f t="shared" si="8"/>
        <v>0.36044174483741703</v>
      </c>
      <c r="P43">
        <v>6</v>
      </c>
      <c r="Q43" s="2">
        <v>6</v>
      </c>
      <c r="R43">
        <f t="shared" si="2"/>
        <v>0</v>
      </c>
      <c r="S43" s="6">
        <v>2.7182911999999999</v>
      </c>
      <c r="T43" s="1">
        <v>4.97</v>
      </c>
      <c r="U43" s="1">
        <f t="shared" si="3"/>
        <v>2.2517087999999998</v>
      </c>
      <c r="V43" s="3">
        <f t="shared" si="9"/>
        <v>0.82835451919205705</v>
      </c>
      <c r="W43">
        <v>26</v>
      </c>
      <c r="X43" s="2">
        <v>36</v>
      </c>
      <c r="Y43" s="2">
        <f t="shared" si="4"/>
        <v>10</v>
      </c>
      <c r="Z43" s="3">
        <f t="shared" si="10"/>
        <v>0.38461538461538464</v>
      </c>
      <c r="AA43" s="3">
        <f>4.07/T43</f>
        <v>0.81891348088531202</v>
      </c>
      <c r="AB43" s="2">
        <v>545</v>
      </c>
      <c r="AC43" s="3">
        <f t="shared" si="14"/>
        <v>109.6579476861167</v>
      </c>
      <c r="AD43" s="1">
        <v>19.27</v>
      </c>
      <c r="AE43" s="1">
        <v>4.97</v>
      </c>
      <c r="AF43" s="3">
        <f t="shared" si="11"/>
        <v>2.877263581488934</v>
      </c>
      <c r="AG43" s="1">
        <v>42.57</v>
      </c>
      <c r="AH43" s="1">
        <v>9.0399999999999991</v>
      </c>
      <c r="AI43" s="3">
        <f t="shared" si="12"/>
        <v>3.7090707964601775</v>
      </c>
      <c r="AJ43" s="1">
        <f t="shared" si="13"/>
        <v>4.0699999999999994</v>
      </c>
    </row>
    <row r="44" spans="1:36">
      <c r="A44">
        <v>43</v>
      </c>
      <c r="B44" t="s">
        <v>13</v>
      </c>
      <c r="C44">
        <v>3</v>
      </c>
      <c r="D44">
        <v>429</v>
      </c>
      <c r="E44">
        <v>545</v>
      </c>
      <c r="F44">
        <f t="shared" si="0"/>
        <v>116</v>
      </c>
      <c r="G44" s="3">
        <f t="shared" si="5"/>
        <v>0.2703962703962704</v>
      </c>
      <c r="H44" s="2">
        <v>1622</v>
      </c>
      <c r="I44" s="2">
        <v>2833</v>
      </c>
      <c r="J44" s="2">
        <f t="shared" si="6"/>
        <v>1211</v>
      </c>
      <c r="K44" s="3">
        <f t="shared" si="7"/>
        <v>0.74660912453760786</v>
      </c>
      <c r="L44" s="1">
        <v>5388.99</v>
      </c>
      <c r="M44" s="3">
        <v>9059.4252259146979</v>
      </c>
      <c r="N44" s="3">
        <f t="shared" si="1"/>
        <v>3670.4352259146981</v>
      </c>
      <c r="O44" s="3">
        <f t="shared" si="8"/>
        <v>0.6810989120252029</v>
      </c>
      <c r="P44">
        <v>5</v>
      </c>
      <c r="Q44" s="2">
        <v>5</v>
      </c>
      <c r="R44">
        <f t="shared" si="2"/>
        <v>0</v>
      </c>
      <c r="S44" s="6">
        <v>1.5791792</v>
      </c>
      <c r="T44" s="1">
        <v>3.12</v>
      </c>
      <c r="U44" s="1">
        <f t="shared" si="3"/>
        <v>1.5408208000000001</v>
      </c>
      <c r="V44" s="3">
        <f t="shared" si="9"/>
        <v>0.97570991309915944</v>
      </c>
      <c r="W44">
        <v>17</v>
      </c>
      <c r="X44" s="2">
        <v>28</v>
      </c>
      <c r="Y44" s="2">
        <f t="shared" si="4"/>
        <v>11</v>
      </c>
      <c r="Z44" s="3">
        <f t="shared" si="10"/>
        <v>0.6470588235294118</v>
      </c>
      <c r="AA44" s="3">
        <f>4.65/T44</f>
        <v>1.4903846153846154</v>
      </c>
      <c r="AB44" s="2">
        <v>472</v>
      </c>
      <c r="AC44" s="3">
        <f t="shared" si="14"/>
        <v>151.28205128205127</v>
      </c>
      <c r="AD44" s="1">
        <v>10.119999999999999</v>
      </c>
      <c r="AE44" s="1">
        <v>3.12</v>
      </c>
      <c r="AF44" s="3">
        <f t="shared" si="11"/>
        <v>2.2435897435897432</v>
      </c>
      <c r="AG44" s="1">
        <v>35.74</v>
      </c>
      <c r="AH44" s="1">
        <v>7.77</v>
      </c>
      <c r="AI44" s="3">
        <f t="shared" si="12"/>
        <v>3.5997425997426005</v>
      </c>
      <c r="AJ44" s="1">
        <f t="shared" si="13"/>
        <v>4.6499999999999995</v>
      </c>
    </row>
    <row r="45" spans="1:36">
      <c r="A45">
        <v>44</v>
      </c>
      <c r="B45" t="s">
        <v>11</v>
      </c>
      <c r="C45">
        <v>3</v>
      </c>
      <c r="D45">
        <v>480</v>
      </c>
      <c r="E45">
        <v>665</v>
      </c>
      <c r="F45">
        <f t="shared" si="0"/>
        <v>185</v>
      </c>
      <c r="G45" s="3">
        <f t="shared" si="5"/>
        <v>0.38541666666666669</v>
      </c>
      <c r="H45" s="2">
        <v>2712</v>
      </c>
      <c r="I45" s="2">
        <v>4861</v>
      </c>
      <c r="J45" s="2">
        <f t="shared" si="6"/>
        <v>2149</v>
      </c>
      <c r="K45" s="3">
        <f t="shared" si="7"/>
        <v>0.79240412979351027</v>
      </c>
      <c r="L45" s="1">
        <v>9123.6</v>
      </c>
      <c r="M45" s="3">
        <v>16250.439672164937</v>
      </c>
      <c r="N45" s="3">
        <f t="shared" si="1"/>
        <v>7126.8396721649369</v>
      </c>
      <c r="O45" s="3">
        <f t="shared" si="8"/>
        <v>0.78114337237109654</v>
      </c>
      <c r="P45">
        <v>4</v>
      </c>
      <c r="Q45" s="2">
        <v>4</v>
      </c>
      <c r="R45">
        <f t="shared" si="2"/>
        <v>0</v>
      </c>
      <c r="S45" s="6">
        <v>2.6404032000000002</v>
      </c>
      <c r="T45" s="1">
        <v>6.89</v>
      </c>
      <c r="U45" s="1">
        <f t="shared" si="3"/>
        <v>4.2495967999999991</v>
      </c>
      <c r="V45" s="3">
        <f t="shared" si="9"/>
        <v>1.6094499506741995</v>
      </c>
      <c r="W45">
        <v>20</v>
      </c>
      <c r="X45" s="2">
        <v>32</v>
      </c>
      <c r="Y45" s="2">
        <f t="shared" si="4"/>
        <v>12</v>
      </c>
      <c r="Z45" s="3">
        <f t="shared" si="10"/>
        <v>0.6</v>
      </c>
      <c r="AA45" s="3">
        <f>7.75/T45</f>
        <v>1.1248185776487665</v>
      </c>
      <c r="AB45" s="2">
        <v>0</v>
      </c>
      <c r="AC45" s="3">
        <f t="shared" si="14"/>
        <v>0</v>
      </c>
      <c r="AD45" s="1">
        <v>24.25</v>
      </c>
      <c r="AE45" s="1">
        <v>6.89</v>
      </c>
      <c r="AF45" s="3">
        <f t="shared" si="11"/>
        <v>2.5195936139332367</v>
      </c>
      <c r="AG45" s="1">
        <v>64.36</v>
      </c>
      <c r="AH45" s="1">
        <v>14.64</v>
      </c>
      <c r="AI45" s="3">
        <f t="shared" si="12"/>
        <v>3.3961748633879778</v>
      </c>
      <c r="AJ45" s="1">
        <f t="shared" si="13"/>
        <v>7.7500000000000009</v>
      </c>
    </row>
    <row r="46" spans="1:36">
      <c r="A46">
        <v>45</v>
      </c>
      <c r="B46" t="s">
        <v>13</v>
      </c>
      <c r="C46">
        <v>3</v>
      </c>
      <c r="D46">
        <v>531</v>
      </c>
      <c r="E46">
        <v>595</v>
      </c>
      <c r="F46">
        <f t="shared" si="0"/>
        <v>64</v>
      </c>
      <c r="G46" s="3">
        <f t="shared" si="5"/>
        <v>0.12052730696798493</v>
      </c>
      <c r="H46" s="2">
        <v>3072</v>
      </c>
      <c r="I46" s="2">
        <v>4658</v>
      </c>
      <c r="J46" s="2">
        <f t="shared" si="6"/>
        <v>1586</v>
      </c>
      <c r="K46" s="3">
        <f t="shared" si="7"/>
        <v>0.51627604166666663</v>
      </c>
      <c r="L46" s="1">
        <v>11012.14</v>
      </c>
      <c r="M46" s="3">
        <v>16028.384078551739</v>
      </c>
      <c r="N46" s="3">
        <f t="shared" si="1"/>
        <v>5016.2440785517392</v>
      </c>
      <c r="O46" s="3">
        <f t="shared" si="8"/>
        <v>0.4555194611176156</v>
      </c>
      <c r="P46">
        <v>6</v>
      </c>
      <c r="Q46" s="2">
        <v>7</v>
      </c>
      <c r="R46">
        <f t="shared" si="2"/>
        <v>1</v>
      </c>
      <c r="S46" s="6">
        <v>2.9908992000000003</v>
      </c>
      <c r="T46" s="1">
        <v>5.23</v>
      </c>
      <c r="U46" s="1">
        <f t="shared" si="3"/>
        <v>2.2391008000000001</v>
      </c>
      <c r="V46" s="3">
        <f t="shared" si="9"/>
        <v>0.74863800157491089</v>
      </c>
      <c r="W46">
        <v>19</v>
      </c>
      <c r="X46" s="2">
        <v>30</v>
      </c>
      <c r="Y46" s="2">
        <f t="shared" si="4"/>
        <v>11</v>
      </c>
      <c r="Z46" s="3">
        <f t="shared" si="10"/>
        <v>0.57894736842105265</v>
      </c>
      <c r="AA46" s="3">
        <f>11.57/T46</f>
        <v>2.2122370936902485</v>
      </c>
      <c r="AB46" s="2">
        <v>806</v>
      </c>
      <c r="AC46" s="3">
        <f t="shared" si="14"/>
        <v>154.11089866156786</v>
      </c>
      <c r="AD46" s="1">
        <v>16.010000000000002</v>
      </c>
      <c r="AE46" s="1">
        <v>5.23</v>
      </c>
      <c r="AF46" s="3">
        <f t="shared" si="11"/>
        <v>2.0611854684512427</v>
      </c>
      <c r="AG46" s="1">
        <v>83.19</v>
      </c>
      <c r="AH46" s="1">
        <v>16.8</v>
      </c>
      <c r="AI46" s="3">
        <f t="shared" si="12"/>
        <v>3.9517857142857142</v>
      </c>
      <c r="AJ46" s="1">
        <f t="shared" si="13"/>
        <v>11.57</v>
      </c>
    </row>
    <row r="50" spans="16:16">
      <c r="P50" s="5"/>
    </row>
  </sheetData>
  <sortState ref="A2:X31">
    <sortCondition ref="A2:A31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2012-10-11T11:19:00Z</cp:lastPrinted>
  <dcterms:created xsi:type="dcterms:W3CDTF">2012-08-03T15:53:45Z</dcterms:created>
  <dcterms:modified xsi:type="dcterms:W3CDTF">2013-09-06T12:45:09Z</dcterms:modified>
</cp:coreProperties>
</file>